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drawings/drawing2.xml" ContentType="application/vnd.openxmlformats-officedocument.drawing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S:\Purchasing\RFP Projects\NevadaEPro RFP's\NVHA\41NHA-S3848 - NET\RFP Documents\"/>
    </mc:Choice>
  </mc:AlternateContent>
  <xr:revisionPtr revIDLastSave="0" documentId="8_{5ACA3192-A3A8-4A44-A52E-027D97D9EA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-State" sheetId="5" r:id="rId1"/>
    <sheet name="Out-of-State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63" i="6" l="1"/>
  <c r="T463" i="6"/>
  <c r="S463" i="6"/>
  <c r="R463" i="6"/>
  <c r="Q463" i="6"/>
  <c r="P463" i="6"/>
  <c r="O463" i="6"/>
  <c r="V462" i="6"/>
  <c r="V461" i="6"/>
  <c r="V460" i="6"/>
  <c r="V459" i="6"/>
  <c r="V458" i="6"/>
  <c r="V457" i="6"/>
  <c r="V456" i="6"/>
  <c r="V455" i="6"/>
  <c r="V454" i="6"/>
  <c r="V453" i="6"/>
  <c r="V452" i="6"/>
  <c r="V451" i="6"/>
  <c r="J451" i="6"/>
  <c r="I451" i="6"/>
  <c r="H451" i="6"/>
  <c r="G451" i="6"/>
  <c r="F451" i="6"/>
  <c r="E451" i="6"/>
  <c r="D451" i="6"/>
  <c r="V450" i="6"/>
  <c r="K450" i="6"/>
  <c r="V449" i="6"/>
  <c r="K449" i="6"/>
  <c r="V448" i="6"/>
  <c r="K448" i="6"/>
  <c r="V447" i="6"/>
  <c r="K447" i="6"/>
  <c r="V446" i="6"/>
  <c r="K446" i="6"/>
  <c r="V445" i="6"/>
  <c r="K445" i="6"/>
  <c r="V444" i="6"/>
  <c r="K444" i="6"/>
  <c r="V443" i="6"/>
  <c r="K443" i="6"/>
  <c r="V442" i="6"/>
  <c r="K442" i="6"/>
  <c r="V441" i="6"/>
  <c r="K441" i="6"/>
  <c r="V440" i="6"/>
  <c r="K440" i="6"/>
  <c r="V439" i="6"/>
  <c r="K439" i="6"/>
  <c r="V438" i="6"/>
  <c r="K438" i="6"/>
  <c r="V437" i="6"/>
  <c r="K437" i="6"/>
  <c r="V436" i="6"/>
  <c r="K436" i="6"/>
  <c r="V435" i="6"/>
  <c r="K435" i="6"/>
  <c r="V434" i="6"/>
  <c r="K434" i="6"/>
  <c r="V433" i="6"/>
  <c r="K433" i="6"/>
  <c r="V432" i="6"/>
  <c r="K432" i="6"/>
  <c r="V431" i="6"/>
  <c r="K431" i="6"/>
  <c r="V430" i="6"/>
  <c r="K430" i="6"/>
  <c r="V429" i="6"/>
  <c r="K429" i="6"/>
  <c r="V428" i="6"/>
  <c r="K428" i="6"/>
  <c r="V427" i="6"/>
  <c r="K427" i="6"/>
  <c r="U421" i="6"/>
  <c r="T421" i="6"/>
  <c r="S421" i="6"/>
  <c r="R421" i="6"/>
  <c r="Q421" i="6"/>
  <c r="P421" i="6"/>
  <c r="O421" i="6"/>
  <c r="J421" i="6"/>
  <c r="I421" i="6"/>
  <c r="H421" i="6"/>
  <c r="G421" i="6"/>
  <c r="F421" i="6"/>
  <c r="E421" i="6"/>
  <c r="D421" i="6"/>
  <c r="V420" i="6"/>
  <c r="K420" i="6"/>
  <c r="V419" i="6"/>
  <c r="K419" i="6"/>
  <c r="V418" i="6"/>
  <c r="K418" i="6"/>
  <c r="V417" i="6"/>
  <c r="K417" i="6"/>
  <c r="V416" i="6"/>
  <c r="K416" i="6"/>
  <c r="V415" i="6"/>
  <c r="K415" i="6"/>
  <c r="V414" i="6"/>
  <c r="K414" i="6"/>
  <c r="V413" i="6"/>
  <c r="K413" i="6"/>
  <c r="V412" i="6"/>
  <c r="K412" i="6"/>
  <c r="V411" i="6"/>
  <c r="K411" i="6"/>
  <c r="V410" i="6"/>
  <c r="K410" i="6"/>
  <c r="V409" i="6"/>
  <c r="K409" i="6"/>
  <c r="V408" i="6"/>
  <c r="K408" i="6"/>
  <c r="V407" i="6"/>
  <c r="K407" i="6"/>
  <c r="V406" i="6"/>
  <c r="K406" i="6"/>
  <c r="V405" i="6"/>
  <c r="K405" i="6"/>
  <c r="V404" i="6"/>
  <c r="K404" i="6"/>
  <c r="V403" i="6"/>
  <c r="K403" i="6"/>
  <c r="V402" i="6"/>
  <c r="K402" i="6"/>
  <c r="V401" i="6"/>
  <c r="K401" i="6"/>
  <c r="V400" i="6"/>
  <c r="K400" i="6"/>
  <c r="V399" i="6"/>
  <c r="K399" i="6"/>
  <c r="V398" i="6"/>
  <c r="K398" i="6"/>
  <c r="V397" i="6"/>
  <c r="K397" i="6"/>
  <c r="V396" i="6"/>
  <c r="K396" i="6"/>
  <c r="V395" i="6"/>
  <c r="K395" i="6"/>
  <c r="V394" i="6"/>
  <c r="K394" i="6"/>
  <c r="V393" i="6"/>
  <c r="K393" i="6"/>
  <c r="V392" i="6"/>
  <c r="K392" i="6"/>
  <c r="V391" i="6"/>
  <c r="K391" i="6"/>
  <c r="V390" i="6"/>
  <c r="K390" i="6"/>
  <c r="V389" i="6"/>
  <c r="K389" i="6"/>
  <c r="V388" i="6"/>
  <c r="K388" i="6"/>
  <c r="V387" i="6"/>
  <c r="K387" i="6"/>
  <c r="V386" i="6"/>
  <c r="K386" i="6"/>
  <c r="J380" i="6"/>
  <c r="I380" i="6"/>
  <c r="H380" i="6"/>
  <c r="G380" i="6"/>
  <c r="F380" i="6"/>
  <c r="E380" i="6"/>
  <c r="D380" i="6"/>
  <c r="K379" i="6"/>
  <c r="K378" i="6"/>
  <c r="K377" i="6"/>
  <c r="U376" i="6"/>
  <c r="T376" i="6"/>
  <c r="S376" i="6"/>
  <c r="R376" i="6"/>
  <c r="Q376" i="6"/>
  <c r="P376" i="6"/>
  <c r="O376" i="6"/>
  <c r="K376" i="6"/>
  <c r="V375" i="6"/>
  <c r="K375" i="6"/>
  <c r="V374" i="6"/>
  <c r="K374" i="6"/>
  <c r="V373" i="6"/>
  <c r="K373" i="6"/>
  <c r="V372" i="6"/>
  <c r="K372" i="6"/>
  <c r="V371" i="6"/>
  <c r="K371" i="6"/>
  <c r="V370" i="6"/>
  <c r="K370" i="6"/>
  <c r="V369" i="6"/>
  <c r="K369" i="6"/>
  <c r="V368" i="6"/>
  <c r="K368" i="6"/>
  <c r="V367" i="6"/>
  <c r="K367" i="6"/>
  <c r="V366" i="6"/>
  <c r="K366" i="6"/>
  <c r="V365" i="6"/>
  <c r="K365" i="6"/>
  <c r="V364" i="6"/>
  <c r="K364" i="6"/>
  <c r="V363" i="6"/>
  <c r="K363" i="6"/>
  <c r="V362" i="6"/>
  <c r="K362" i="6"/>
  <c r="V361" i="6"/>
  <c r="K361" i="6"/>
  <c r="V360" i="6"/>
  <c r="K360" i="6"/>
  <c r="V359" i="6"/>
  <c r="K359" i="6"/>
  <c r="V358" i="6"/>
  <c r="K358" i="6"/>
  <c r="V357" i="6"/>
  <c r="K357" i="6"/>
  <c r="V356" i="6"/>
  <c r="K356" i="6"/>
  <c r="V355" i="6"/>
  <c r="K355" i="6"/>
  <c r="V354" i="6"/>
  <c r="K354" i="6"/>
  <c r="V353" i="6"/>
  <c r="K353" i="6"/>
  <c r="V352" i="6"/>
  <c r="K352" i="6"/>
  <c r="V351" i="6"/>
  <c r="K351" i="6"/>
  <c r="V350" i="6"/>
  <c r="K350" i="6"/>
  <c r="V349" i="6"/>
  <c r="K349" i="6"/>
  <c r="V348" i="6"/>
  <c r="K348" i="6"/>
  <c r="V347" i="6"/>
  <c r="K347" i="6"/>
  <c r="V346" i="6"/>
  <c r="K346" i="6"/>
  <c r="U340" i="6"/>
  <c r="T340" i="6"/>
  <c r="S340" i="6"/>
  <c r="R340" i="6"/>
  <c r="Q340" i="6"/>
  <c r="P340" i="6"/>
  <c r="O340" i="6"/>
  <c r="J340" i="6"/>
  <c r="I340" i="6"/>
  <c r="H340" i="6"/>
  <c r="G340" i="6"/>
  <c r="F340" i="6"/>
  <c r="E340" i="6"/>
  <c r="D340" i="6"/>
  <c r="V339" i="6"/>
  <c r="K339" i="6"/>
  <c r="V338" i="6"/>
  <c r="K338" i="6"/>
  <c r="V337" i="6"/>
  <c r="K337" i="6"/>
  <c r="V336" i="6"/>
  <c r="K336" i="6"/>
  <c r="V335" i="6"/>
  <c r="K335" i="6"/>
  <c r="V334" i="6"/>
  <c r="K334" i="6"/>
  <c r="V333" i="6"/>
  <c r="K333" i="6"/>
  <c r="V332" i="6"/>
  <c r="K332" i="6"/>
  <c r="V331" i="6"/>
  <c r="K331" i="6"/>
  <c r="V330" i="6"/>
  <c r="K330" i="6"/>
  <c r="V329" i="6"/>
  <c r="K329" i="6"/>
  <c r="V328" i="6"/>
  <c r="K328" i="6"/>
  <c r="V327" i="6"/>
  <c r="K327" i="6"/>
  <c r="V326" i="6"/>
  <c r="K326" i="6"/>
  <c r="V325" i="6"/>
  <c r="K325" i="6"/>
  <c r="V324" i="6"/>
  <c r="K324" i="6"/>
  <c r="V323" i="6"/>
  <c r="K323" i="6"/>
  <c r="V322" i="6"/>
  <c r="K322" i="6"/>
  <c r="V321" i="6"/>
  <c r="K321" i="6"/>
  <c r="V320" i="6"/>
  <c r="K320" i="6"/>
  <c r="V319" i="6"/>
  <c r="K319" i="6"/>
  <c r="V318" i="6"/>
  <c r="K318" i="6"/>
  <c r="V317" i="6"/>
  <c r="K317" i="6"/>
  <c r="V316" i="6"/>
  <c r="K316" i="6"/>
  <c r="V315" i="6"/>
  <c r="K315" i="6"/>
  <c r="V314" i="6"/>
  <c r="K314" i="6"/>
  <c r="V313" i="6"/>
  <c r="K313" i="6"/>
  <c r="U307" i="6"/>
  <c r="T307" i="6"/>
  <c r="S307" i="6"/>
  <c r="R307" i="6"/>
  <c r="Q307" i="6"/>
  <c r="P307" i="6"/>
  <c r="O307" i="6"/>
  <c r="V306" i="6"/>
  <c r="V305" i="6"/>
  <c r="V304" i="6"/>
  <c r="V303" i="6"/>
  <c r="J303" i="6"/>
  <c r="I303" i="6"/>
  <c r="H303" i="6"/>
  <c r="G303" i="6"/>
  <c r="F303" i="6"/>
  <c r="E303" i="6"/>
  <c r="D303" i="6"/>
  <c r="V302" i="6"/>
  <c r="K302" i="6"/>
  <c r="V301" i="6"/>
  <c r="K301" i="6"/>
  <c r="V300" i="6"/>
  <c r="K300" i="6"/>
  <c r="V299" i="6"/>
  <c r="K299" i="6"/>
  <c r="V298" i="6"/>
  <c r="K298" i="6"/>
  <c r="V297" i="6"/>
  <c r="K297" i="6"/>
  <c r="V296" i="6"/>
  <c r="K296" i="6"/>
  <c r="V295" i="6"/>
  <c r="K295" i="6"/>
  <c r="V294" i="6"/>
  <c r="K294" i="6"/>
  <c r="V293" i="6"/>
  <c r="K293" i="6"/>
  <c r="V292" i="6"/>
  <c r="K292" i="6"/>
  <c r="V291" i="6"/>
  <c r="K291" i="6"/>
  <c r="V290" i="6"/>
  <c r="K290" i="6"/>
  <c r="V289" i="6"/>
  <c r="K289" i="6"/>
  <c r="V288" i="6"/>
  <c r="K288" i="6"/>
  <c r="V287" i="6"/>
  <c r="K287" i="6"/>
  <c r="V286" i="6"/>
  <c r="K286" i="6"/>
  <c r="V285" i="6"/>
  <c r="K285" i="6"/>
  <c r="V284" i="6"/>
  <c r="K284" i="6"/>
  <c r="V283" i="6"/>
  <c r="K283" i="6"/>
  <c r="V282" i="6"/>
  <c r="K282" i="6"/>
  <c r="V281" i="6"/>
  <c r="K281" i="6"/>
  <c r="V280" i="6"/>
  <c r="K280" i="6"/>
  <c r="V279" i="6"/>
  <c r="K279" i="6"/>
  <c r="V278" i="6"/>
  <c r="K278" i="6"/>
  <c r="V277" i="6"/>
  <c r="K277" i="6"/>
  <c r="V276" i="6"/>
  <c r="K276" i="6"/>
  <c r="J270" i="6"/>
  <c r="I270" i="6"/>
  <c r="H270" i="6"/>
  <c r="G270" i="6"/>
  <c r="F270" i="6"/>
  <c r="E270" i="6"/>
  <c r="D270" i="6"/>
  <c r="K269" i="6"/>
  <c r="K268" i="6"/>
  <c r="K267" i="6"/>
  <c r="K266" i="6"/>
  <c r="K265" i="6"/>
  <c r="K264" i="6"/>
  <c r="U263" i="6"/>
  <c r="T263" i="6"/>
  <c r="S263" i="6"/>
  <c r="R263" i="6"/>
  <c r="Q263" i="6"/>
  <c r="P263" i="6"/>
  <c r="O263" i="6"/>
  <c r="K263" i="6"/>
  <c r="V262" i="6"/>
  <c r="K262" i="6"/>
  <c r="V261" i="6"/>
  <c r="K261" i="6"/>
  <c r="V260" i="6"/>
  <c r="K260" i="6"/>
  <c r="V259" i="6"/>
  <c r="K259" i="6"/>
  <c r="V258" i="6"/>
  <c r="K258" i="6"/>
  <c r="V257" i="6"/>
  <c r="K257" i="6"/>
  <c r="V256" i="6"/>
  <c r="K256" i="6"/>
  <c r="V255" i="6"/>
  <c r="K255" i="6"/>
  <c r="V254" i="6"/>
  <c r="K254" i="6"/>
  <c r="V253" i="6"/>
  <c r="K253" i="6"/>
  <c r="V252" i="6"/>
  <c r="K252" i="6"/>
  <c r="V251" i="6"/>
  <c r="K251" i="6"/>
  <c r="V250" i="6"/>
  <c r="K250" i="6"/>
  <c r="V249" i="6"/>
  <c r="K249" i="6"/>
  <c r="V248" i="6"/>
  <c r="K248" i="6"/>
  <c r="V247" i="6"/>
  <c r="K247" i="6"/>
  <c r="V246" i="6"/>
  <c r="K246" i="6"/>
  <c r="V245" i="6"/>
  <c r="K245" i="6"/>
  <c r="V244" i="6"/>
  <c r="K244" i="6"/>
  <c r="V243" i="6"/>
  <c r="K243" i="6"/>
  <c r="V242" i="6"/>
  <c r="K242" i="6"/>
  <c r="V241" i="6"/>
  <c r="K241" i="6"/>
  <c r="V240" i="6"/>
  <c r="K240" i="6"/>
  <c r="V239" i="6"/>
  <c r="K239" i="6"/>
  <c r="V238" i="6"/>
  <c r="K238" i="6"/>
  <c r="V237" i="6"/>
  <c r="K237" i="6"/>
  <c r="U231" i="6"/>
  <c r="T231" i="6"/>
  <c r="S231" i="6"/>
  <c r="R231" i="6"/>
  <c r="Q231" i="6"/>
  <c r="P231" i="6"/>
  <c r="O231" i="6"/>
  <c r="J231" i="6"/>
  <c r="I231" i="6"/>
  <c r="H231" i="6"/>
  <c r="G231" i="6"/>
  <c r="F231" i="6"/>
  <c r="E231" i="6"/>
  <c r="D231" i="6"/>
  <c r="V230" i="6"/>
  <c r="K230" i="6"/>
  <c r="V229" i="6"/>
  <c r="K229" i="6"/>
  <c r="V228" i="6"/>
  <c r="K228" i="6"/>
  <c r="V227" i="6"/>
  <c r="K227" i="6"/>
  <c r="V226" i="6"/>
  <c r="K226" i="6"/>
  <c r="V225" i="6"/>
  <c r="K225" i="6"/>
  <c r="V224" i="6"/>
  <c r="K224" i="6"/>
  <c r="V223" i="6"/>
  <c r="K223" i="6"/>
  <c r="V222" i="6"/>
  <c r="K222" i="6"/>
  <c r="V221" i="6"/>
  <c r="K221" i="6"/>
  <c r="V220" i="6"/>
  <c r="K220" i="6"/>
  <c r="V219" i="6"/>
  <c r="K219" i="6"/>
  <c r="V218" i="6"/>
  <c r="K218" i="6"/>
  <c r="V217" i="6"/>
  <c r="K217" i="6"/>
  <c r="V216" i="6"/>
  <c r="K216" i="6"/>
  <c r="V215" i="6"/>
  <c r="K215" i="6"/>
  <c r="V214" i="6"/>
  <c r="K214" i="6"/>
  <c r="V213" i="6"/>
  <c r="K213" i="6"/>
  <c r="V212" i="6"/>
  <c r="K212" i="6"/>
  <c r="V211" i="6"/>
  <c r="K211" i="6"/>
  <c r="V210" i="6"/>
  <c r="K210" i="6"/>
  <c r="V209" i="6"/>
  <c r="K209" i="6"/>
  <c r="J203" i="6"/>
  <c r="I203" i="6"/>
  <c r="H203" i="6"/>
  <c r="G203" i="6"/>
  <c r="F203" i="6"/>
  <c r="E203" i="6"/>
  <c r="D203" i="6"/>
  <c r="K202" i="6"/>
  <c r="K201" i="6"/>
  <c r="U200" i="6"/>
  <c r="T200" i="6"/>
  <c r="S200" i="6"/>
  <c r="R200" i="6"/>
  <c r="Q200" i="6"/>
  <c r="P200" i="6"/>
  <c r="O200" i="6"/>
  <c r="K200" i="6"/>
  <c r="V199" i="6"/>
  <c r="K199" i="6"/>
  <c r="V198" i="6"/>
  <c r="K198" i="6"/>
  <c r="V197" i="6"/>
  <c r="K197" i="6"/>
  <c r="V196" i="6"/>
  <c r="K196" i="6"/>
  <c r="V195" i="6"/>
  <c r="K195" i="6"/>
  <c r="V194" i="6"/>
  <c r="K194" i="6"/>
  <c r="V193" i="6"/>
  <c r="K193" i="6"/>
  <c r="V192" i="6"/>
  <c r="K192" i="6"/>
  <c r="V191" i="6"/>
  <c r="K191" i="6"/>
  <c r="V190" i="6"/>
  <c r="K190" i="6"/>
  <c r="V189" i="6"/>
  <c r="K189" i="6"/>
  <c r="V188" i="6"/>
  <c r="K188" i="6"/>
  <c r="V187" i="6"/>
  <c r="K187" i="6"/>
  <c r="V186" i="6"/>
  <c r="K186" i="6"/>
  <c r="V185" i="6"/>
  <c r="K185" i="6"/>
  <c r="V184" i="6"/>
  <c r="K184" i="6"/>
  <c r="V183" i="6"/>
  <c r="K183" i="6"/>
  <c r="V182" i="6"/>
  <c r="K182" i="6"/>
  <c r="V181" i="6"/>
  <c r="K181" i="6"/>
  <c r="V180" i="6"/>
  <c r="K180" i="6"/>
  <c r="V179" i="6"/>
  <c r="K179" i="6"/>
  <c r="V178" i="6"/>
  <c r="K178" i="6"/>
  <c r="V177" i="6"/>
  <c r="K177" i="6"/>
  <c r="V176" i="6"/>
  <c r="K176" i="6"/>
  <c r="V175" i="6"/>
  <c r="K175" i="6"/>
  <c r="J169" i="6"/>
  <c r="I169" i="6"/>
  <c r="H169" i="6"/>
  <c r="G169" i="6"/>
  <c r="F169" i="6"/>
  <c r="E169" i="6"/>
  <c r="D169" i="6"/>
  <c r="U168" i="6"/>
  <c r="T168" i="6"/>
  <c r="S168" i="6"/>
  <c r="R168" i="6"/>
  <c r="Q168" i="6"/>
  <c r="P168" i="6"/>
  <c r="O168" i="6"/>
  <c r="K168" i="6"/>
  <c r="V167" i="6"/>
  <c r="K167" i="6"/>
  <c r="V166" i="6"/>
  <c r="K166" i="6"/>
  <c r="V165" i="6"/>
  <c r="K165" i="6"/>
  <c r="V164" i="6"/>
  <c r="K164" i="6"/>
  <c r="V163" i="6"/>
  <c r="K163" i="6"/>
  <c r="V162" i="6"/>
  <c r="K162" i="6"/>
  <c r="V161" i="6"/>
  <c r="K161" i="6"/>
  <c r="V160" i="6"/>
  <c r="K160" i="6"/>
  <c r="V159" i="6"/>
  <c r="K159" i="6"/>
  <c r="V158" i="6"/>
  <c r="K158" i="6"/>
  <c r="V157" i="6"/>
  <c r="K157" i="6"/>
  <c r="V156" i="6"/>
  <c r="K156" i="6"/>
  <c r="V155" i="6"/>
  <c r="K155" i="6"/>
  <c r="V154" i="6"/>
  <c r="K154" i="6"/>
  <c r="V153" i="6"/>
  <c r="K153" i="6"/>
  <c r="V152" i="6"/>
  <c r="K152" i="6"/>
  <c r="V151" i="6"/>
  <c r="K151" i="6"/>
  <c r="V150" i="6"/>
  <c r="K150" i="6"/>
  <c r="V149" i="6"/>
  <c r="K149" i="6"/>
  <c r="V148" i="6"/>
  <c r="K148" i="6"/>
  <c r="V147" i="6"/>
  <c r="K147" i="6"/>
  <c r="V146" i="6"/>
  <c r="K146" i="6"/>
  <c r="V145" i="6"/>
  <c r="K145" i="6"/>
  <c r="V144" i="6"/>
  <c r="K144" i="6"/>
  <c r="V143" i="6"/>
  <c r="K143" i="6"/>
  <c r="V142" i="6"/>
  <c r="K142" i="6"/>
  <c r="V141" i="6"/>
  <c r="K141" i="6"/>
  <c r="V140" i="6"/>
  <c r="K140" i="6"/>
  <c r="U134" i="6"/>
  <c r="T134" i="6"/>
  <c r="S134" i="6"/>
  <c r="R134" i="6"/>
  <c r="Q134" i="6"/>
  <c r="P134" i="6"/>
  <c r="O134" i="6"/>
  <c r="V133" i="6"/>
  <c r="V132" i="6"/>
  <c r="V131" i="6"/>
  <c r="V130" i="6"/>
  <c r="V129" i="6"/>
  <c r="V128" i="6"/>
  <c r="V127" i="6"/>
  <c r="V126" i="6"/>
  <c r="V125" i="6"/>
  <c r="V124" i="6"/>
  <c r="J124" i="6"/>
  <c r="I124" i="6"/>
  <c r="H124" i="6"/>
  <c r="G124" i="6"/>
  <c r="F124" i="6"/>
  <c r="E124" i="6"/>
  <c r="D124" i="6"/>
  <c r="V123" i="6"/>
  <c r="K123" i="6"/>
  <c r="V122" i="6"/>
  <c r="K122" i="6"/>
  <c r="V121" i="6"/>
  <c r="K121" i="6"/>
  <c r="V120" i="6"/>
  <c r="K120" i="6"/>
  <c r="V119" i="6"/>
  <c r="K119" i="6"/>
  <c r="V118" i="6"/>
  <c r="K118" i="6"/>
  <c r="V117" i="6"/>
  <c r="K117" i="6"/>
  <c r="V116" i="6"/>
  <c r="K116" i="6"/>
  <c r="V115" i="6"/>
  <c r="K115" i="6"/>
  <c r="V114" i="6"/>
  <c r="K114" i="6"/>
  <c r="V113" i="6"/>
  <c r="K113" i="6"/>
  <c r="V112" i="6"/>
  <c r="K112" i="6"/>
  <c r="V111" i="6"/>
  <c r="K111" i="6"/>
  <c r="V110" i="6"/>
  <c r="K110" i="6"/>
  <c r="V109" i="6"/>
  <c r="K109" i="6"/>
  <c r="V108" i="6"/>
  <c r="K108" i="6"/>
  <c r="V107" i="6"/>
  <c r="K107" i="6"/>
  <c r="V106" i="6"/>
  <c r="K106" i="6"/>
  <c r="V105" i="6"/>
  <c r="K105" i="6"/>
  <c r="V104" i="6"/>
  <c r="K104" i="6"/>
  <c r="V103" i="6"/>
  <c r="K103" i="6"/>
  <c r="V102" i="6"/>
  <c r="K102" i="6"/>
  <c r="V101" i="6"/>
  <c r="K101" i="6"/>
  <c r="V100" i="6"/>
  <c r="K100" i="6"/>
  <c r="V99" i="6"/>
  <c r="K99" i="6"/>
  <c r="V98" i="6"/>
  <c r="K98" i="6"/>
  <c r="U92" i="6"/>
  <c r="T92" i="6"/>
  <c r="S92" i="6"/>
  <c r="R92" i="6"/>
  <c r="Q92" i="6"/>
  <c r="P92" i="6"/>
  <c r="O92" i="6"/>
  <c r="V91" i="6"/>
  <c r="V90" i="6"/>
  <c r="V89" i="6"/>
  <c r="V88" i="6"/>
  <c r="V87" i="6"/>
  <c r="J87" i="6"/>
  <c r="I87" i="6"/>
  <c r="H87" i="6"/>
  <c r="G87" i="6"/>
  <c r="F87" i="6"/>
  <c r="E87" i="6"/>
  <c r="D87" i="6"/>
  <c r="V86" i="6"/>
  <c r="K86" i="6"/>
  <c r="V85" i="6"/>
  <c r="K85" i="6"/>
  <c r="V84" i="6"/>
  <c r="K84" i="6"/>
  <c r="V83" i="6"/>
  <c r="K83" i="6"/>
  <c r="V82" i="6"/>
  <c r="K82" i="6"/>
  <c r="V81" i="6"/>
  <c r="K81" i="6"/>
  <c r="V80" i="6"/>
  <c r="K80" i="6"/>
  <c r="V79" i="6"/>
  <c r="K79" i="6"/>
  <c r="V78" i="6"/>
  <c r="K78" i="6"/>
  <c r="V77" i="6"/>
  <c r="K77" i="6"/>
  <c r="V76" i="6"/>
  <c r="K76" i="6"/>
  <c r="V75" i="6"/>
  <c r="K75" i="6"/>
  <c r="V74" i="6"/>
  <c r="K74" i="6"/>
  <c r="V73" i="6"/>
  <c r="K73" i="6"/>
  <c r="V72" i="6"/>
  <c r="K72" i="6"/>
  <c r="V71" i="6"/>
  <c r="K71" i="6"/>
  <c r="V70" i="6"/>
  <c r="K70" i="6"/>
  <c r="V69" i="6"/>
  <c r="K69" i="6"/>
  <c r="V68" i="6"/>
  <c r="K68" i="6"/>
  <c r="V67" i="6"/>
  <c r="K67" i="6"/>
  <c r="V66" i="6"/>
  <c r="K66" i="6"/>
  <c r="V65" i="6"/>
  <c r="K65" i="6"/>
  <c r="V64" i="6"/>
  <c r="K64" i="6"/>
  <c r="V63" i="6"/>
  <c r="K63" i="6"/>
  <c r="V62" i="6"/>
  <c r="K62" i="6"/>
  <c r="V61" i="6"/>
  <c r="K61" i="6"/>
  <c r="J54" i="6"/>
  <c r="I54" i="6"/>
  <c r="H54" i="6"/>
  <c r="G54" i="6"/>
  <c r="F54" i="6"/>
  <c r="E54" i="6"/>
  <c r="D54" i="6"/>
  <c r="U53" i="6"/>
  <c r="T53" i="6"/>
  <c r="S53" i="6"/>
  <c r="R53" i="6"/>
  <c r="Q53" i="6"/>
  <c r="P53" i="6"/>
  <c r="O53" i="6"/>
  <c r="K53" i="6"/>
  <c r="V52" i="6"/>
  <c r="K52" i="6"/>
  <c r="V51" i="6"/>
  <c r="K51" i="6"/>
  <c r="V50" i="6"/>
  <c r="K50" i="6"/>
  <c r="V49" i="6"/>
  <c r="K49" i="6"/>
  <c r="V48" i="6"/>
  <c r="K48" i="6"/>
  <c r="V47" i="6"/>
  <c r="K47" i="6"/>
  <c r="V46" i="6"/>
  <c r="K46" i="6"/>
  <c r="V45" i="6"/>
  <c r="K45" i="6"/>
  <c r="V44" i="6"/>
  <c r="K44" i="6"/>
  <c r="V43" i="6"/>
  <c r="K43" i="6"/>
  <c r="V42" i="6"/>
  <c r="K42" i="6"/>
  <c r="V41" i="6"/>
  <c r="K41" i="6"/>
  <c r="V40" i="6"/>
  <c r="K40" i="6"/>
  <c r="V39" i="6"/>
  <c r="K39" i="6"/>
  <c r="V38" i="6"/>
  <c r="K38" i="6"/>
  <c r="V37" i="6"/>
  <c r="K37" i="6"/>
  <c r="V36" i="6"/>
  <c r="K36" i="6"/>
  <c r="V35" i="6"/>
  <c r="K35" i="6"/>
  <c r="V34" i="6"/>
  <c r="K34" i="6"/>
  <c r="V33" i="6"/>
  <c r="K33" i="6"/>
  <c r="V32" i="6"/>
  <c r="K32" i="6"/>
  <c r="V31" i="6"/>
  <c r="K31" i="6"/>
  <c r="V30" i="6"/>
  <c r="K30" i="6"/>
  <c r="V29" i="6"/>
  <c r="K29" i="6"/>
  <c r="V28" i="6"/>
  <c r="K28" i="6"/>
  <c r="V27" i="6"/>
  <c r="K27" i="6"/>
  <c r="V26" i="6"/>
  <c r="K26" i="6"/>
  <c r="V25" i="6"/>
  <c r="K25" i="6"/>
  <c r="V24" i="6"/>
  <c r="K24" i="6"/>
  <c r="K54" i="6"/>
  <c r="J293" i="5"/>
  <c r="I293" i="5"/>
  <c r="H293" i="5"/>
  <c r="G293" i="5"/>
  <c r="F293" i="5"/>
  <c r="E293" i="5"/>
  <c r="D293" i="5"/>
  <c r="V292" i="5"/>
  <c r="U292" i="5"/>
  <c r="T292" i="5"/>
  <c r="S292" i="5"/>
  <c r="R292" i="5"/>
  <c r="Q292" i="5"/>
  <c r="P292" i="5"/>
  <c r="K292" i="5"/>
  <c r="W291" i="5"/>
  <c r="K291" i="5"/>
  <c r="W290" i="5"/>
  <c r="K290" i="5"/>
  <c r="W289" i="5"/>
  <c r="K289" i="5"/>
  <c r="W288" i="5"/>
  <c r="K288" i="5"/>
  <c r="W287" i="5"/>
  <c r="K287" i="5"/>
  <c r="W286" i="5"/>
  <c r="K286" i="5"/>
  <c r="W285" i="5"/>
  <c r="K285" i="5"/>
  <c r="W284" i="5"/>
  <c r="K284" i="5"/>
  <c r="W283" i="5"/>
  <c r="K283" i="5"/>
  <c r="W282" i="5"/>
  <c r="K282" i="5"/>
  <c r="W281" i="5"/>
  <c r="K281" i="5"/>
  <c r="W280" i="5"/>
  <c r="K280" i="5"/>
  <c r="W279" i="5"/>
  <c r="K279" i="5"/>
  <c r="W278" i="5"/>
  <c r="K278" i="5"/>
  <c r="W277" i="5"/>
  <c r="K277" i="5"/>
  <c r="W276" i="5"/>
  <c r="K276" i="5"/>
  <c r="V270" i="5"/>
  <c r="U270" i="5"/>
  <c r="T270" i="5"/>
  <c r="S270" i="5"/>
  <c r="R270" i="5"/>
  <c r="Q270" i="5"/>
  <c r="P270" i="5"/>
  <c r="J270" i="5"/>
  <c r="I270" i="5"/>
  <c r="H270" i="5"/>
  <c r="G270" i="5"/>
  <c r="F270" i="5"/>
  <c r="E270" i="5"/>
  <c r="D270" i="5"/>
  <c r="W269" i="5"/>
  <c r="K269" i="5"/>
  <c r="W268" i="5"/>
  <c r="K268" i="5"/>
  <c r="W267" i="5"/>
  <c r="K267" i="5"/>
  <c r="W266" i="5"/>
  <c r="K266" i="5"/>
  <c r="W265" i="5"/>
  <c r="K265" i="5"/>
  <c r="W264" i="5"/>
  <c r="K264" i="5"/>
  <c r="W263" i="5"/>
  <c r="K263" i="5"/>
  <c r="W262" i="5"/>
  <c r="K262" i="5"/>
  <c r="W261" i="5"/>
  <c r="K261" i="5"/>
  <c r="W260" i="5"/>
  <c r="K260" i="5"/>
  <c r="W259" i="5"/>
  <c r="K259" i="5"/>
  <c r="W258" i="5"/>
  <c r="K258" i="5"/>
  <c r="W257" i="5"/>
  <c r="K257" i="5"/>
  <c r="W256" i="5"/>
  <c r="K256" i="5"/>
  <c r="W255" i="5"/>
  <c r="K255" i="5"/>
  <c r="W254" i="5"/>
  <c r="K254" i="5"/>
  <c r="V248" i="5"/>
  <c r="U248" i="5"/>
  <c r="T248" i="5"/>
  <c r="S248" i="5"/>
  <c r="R248" i="5"/>
  <c r="Q248" i="5"/>
  <c r="P248" i="5"/>
  <c r="W247" i="5"/>
  <c r="W246" i="5"/>
  <c r="J246" i="5"/>
  <c r="I246" i="5"/>
  <c r="H246" i="5"/>
  <c r="G246" i="5"/>
  <c r="F246" i="5"/>
  <c r="E246" i="5"/>
  <c r="D246" i="5"/>
  <c r="W245" i="5"/>
  <c r="K245" i="5"/>
  <c r="W244" i="5"/>
  <c r="K244" i="5"/>
  <c r="W243" i="5"/>
  <c r="K243" i="5"/>
  <c r="W242" i="5"/>
  <c r="K242" i="5"/>
  <c r="W241" i="5"/>
  <c r="K241" i="5"/>
  <c r="W240" i="5"/>
  <c r="K240" i="5"/>
  <c r="W239" i="5"/>
  <c r="K239" i="5"/>
  <c r="W238" i="5"/>
  <c r="K238" i="5"/>
  <c r="W237" i="5"/>
  <c r="K237" i="5"/>
  <c r="W236" i="5"/>
  <c r="K236" i="5"/>
  <c r="W235" i="5"/>
  <c r="K235" i="5"/>
  <c r="W234" i="5"/>
  <c r="K234" i="5"/>
  <c r="W233" i="5"/>
  <c r="K233" i="5"/>
  <c r="W232" i="5"/>
  <c r="K232" i="5"/>
  <c r="W231" i="5"/>
  <c r="K231" i="5"/>
  <c r="W230" i="5"/>
  <c r="K230" i="5"/>
  <c r="J224" i="5"/>
  <c r="I224" i="5"/>
  <c r="H224" i="5"/>
  <c r="G224" i="5"/>
  <c r="F224" i="5"/>
  <c r="E224" i="5"/>
  <c r="D224" i="5"/>
  <c r="V223" i="5"/>
  <c r="U223" i="5"/>
  <c r="T223" i="5"/>
  <c r="S223" i="5"/>
  <c r="R223" i="5"/>
  <c r="Q223" i="5"/>
  <c r="P223" i="5"/>
  <c r="K223" i="5"/>
  <c r="W222" i="5"/>
  <c r="K222" i="5"/>
  <c r="W221" i="5"/>
  <c r="K221" i="5"/>
  <c r="W220" i="5"/>
  <c r="K220" i="5"/>
  <c r="W219" i="5"/>
  <c r="K219" i="5"/>
  <c r="W218" i="5"/>
  <c r="K218" i="5"/>
  <c r="W217" i="5"/>
  <c r="K217" i="5"/>
  <c r="W216" i="5"/>
  <c r="K216" i="5"/>
  <c r="W215" i="5"/>
  <c r="K215" i="5"/>
  <c r="W214" i="5"/>
  <c r="K214" i="5"/>
  <c r="W213" i="5"/>
  <c r="K213" i="5"/>
  <c r="W212" i="5"/>
  <c r="K212" i="5"/>
  <c r="W211" i="5"/>
  <c r="K211" i="5"/>
  <c r="W210" i="5"/>
  <c r="K210" i="5"/>
  <c r="W209" i="5"/>
  <c r="K209" i="5"/>
  <c r="W208" i="5"/>
  <c r="K208" i="5"/>
  <c r="W207" i="5"/>
  <c r="K207" i="5"/>
  <c r="J201" i="5"/>
  <c r="I201" i="5"/>
  <c r="H201" i="5"/>
  <c r="G201" i="5"/>
  <c r="F201" i="5"/>
  <c r="E201" i="5"/>
  <c r="D201" i="5"/>
  <c r="V200" i="5"/>
  <c r="U200" i="5"/>
  <c r="T200" i="5"/>
  <c r="S200" i="5"/>
  <c r="R200" i="5"/>
  <c r="Q200" i="5"/>
  <c r="P200" i="5"/>
  <c r="K200" i="5"/>
  <c r="W199" i="5"/>
  <c r="K199" i="5"/>
  <c r="W198" i="5"/>
  <c r="K198" i="5"/>
  <c r="W197" i="5"/>
  <c r="K197" i="5"/>
  <c r="W196" i="5"/>
  <c r="K196" i="5"/>
  <c r="W195" i="5"/>
  <c r="K195" i="5"/>
  <c r="W194" i="5"/>
  <c r="K194" i="5"/>
  <c r="W193" i="5"/>
  <c r="K193" i="5"/>
  <c r="W192" i="5"/>
  <c r="K192" i="5"/>
  <c r="W191" i="5"/>
  <c r="K191" i="5"/>
  <c r="W190" i="5"/>
  <c r="K190" i="5"/>
  <c r="W189" i="5"/>
  <c r="K189" i="5"/>
  <c r="W188" i="5"/>
  <c r="K188" i="5"/>
  <c r="W187" i="5"/>
  <c r="K187" i="5"/>
  <c r="W186" i="5"/>
  <c r="K186" i="5"/>
  <c r="W185" i="5"/>
  <c r="K185" i="5"/>
  <c r="W184" i="5"/>
  <c r="K184" i="5"/>
  <c r="J178" i="5"/>
  <c r="I178" i="5"/>
  <c r="H178" i="5"/>
  <c r="G178" i="5"/>
  <c r="F178" i="5"/>
  <c r="E178" i="5"/>
  <c r="D178" i="5"/>
  <c r="K177" i="5"/>
  <c r="V176" i="5"/>
  <c r="U176" i="5"/>
  <c r="T176" i="5"/>
  <c r="S176" i="5"/>
  <c r="R176" i="5"/>
  <c r="Q176" i="5"/>
  <c r="P176" i="5"/>
  <c r="K176" i="5"/>
  <c r="W175" i="5"/>
  <c r="K175" i="5"/>
  <c r="W174" i="5"/>
  <c r="K174" i="5"/>
  <c r="W173" i="5"/>
  <c r="K173" i="5"/>
  <c r="W172" i="5"/>
  <c r="K172" i="5"/>
  <c r="W171" i="5"/>
  <c r="K171" i="5"/>
  <c r="W170" i="5"/>
  <c r="K170" i="5"/>
  <c r="W169" i="5"/>
  <c r="K169" i="5"/>
  <c r="W168" i="5"/>
  <c r="K168" i="5"/>
  <c r="W167" i="5"/>
  <c r="K167" i="5"/>
  <c r="W166" i="5"/>
  <c r="K166" i="5"/>
  <c r="W165" i="5"/>
  <c r="K165" i="5"/>
  <c r="W164" i="5"/>
  <c r="K164" i="5"/>
  <c r="W163" i="5"/>
  <c r="K163" i="5"/>
  <c r="W162" i="5"/>
  <c r="K162" i="5"/>
  <c r="W161" i="5"/>
  <c r="K161" i="5"/>
  <c r="J155" i="5"/>
  <c r="I155" i="5"/>
  <c r="H155" i="5"/>
  <c r="G155" i="5"/>
  <c r="F155" i="5"/>
  <c r="E155" i="5"/>
  <c r="D155" i="5"/>
  <c r="K154" i="5"/>
  <c r="V153" i="5"/>
  <c r="U153" i="5"/>
  <c r="T153" i="5"/>
  <c r="S153" i="5"/>
  <c r="R153" i="5"/>
  <c r="Q153" i="5"/>
  <c r="P153" i="5"/>
  <c r="K153" i="5"/>
  <c r="W152" i="5"/>
  <c r="K152" i="5"/>
  <c r="W151" i="5"/>
  <c r="K151" i="5"/>
  <c r="W150" i="5"/>
  <c r="K150" i="5"/>
  <c r="W149" i="5"/>
  <c r="K149" i="5"/>
  <c r="W148" i="5"/>
  <c r="K148" i="5"/>
  <c r="W147" i="5"/>
  <c r="K147" i="5"/>
  <c r="W146" i="5"/>
  <c r="K146" i="5"/>
  <c r="W145" i="5"/>
  <c r="K145" i="5"/>
  <c r="W144" i="5"/>
  <c r="K144" i="5"/>
  <c r="W143" i="5"/>
  <c r="K143" i="5"/>
  <c r="W142" i="5"/>
  <c r="K142" i="5"/>
  <c r="W141" i="5"/>
  <c r="K141" i="5"/>
  <c r="W140" i="5"/>
  <c r="K140" i="5"/>
  <c r="W139" i="5"/>
  <c r="K139" i="5"/>
  <c r="W138" i="5"/>
  <c r="K138" i="5"/>
  <c r="J132" i="5"/>
  <c r="I132" i="5"/>
  <c r="H132" i="5"/>
  <c r="G132" i="5"/>
  <c r="F132" i="5"/>
  <c r="E132" i="5"/>
  <c r="D132" i="5"/>
  <c r="K131" i="5"/>
  <c r="V130" i="5"/>
  <c r="U130" i="5"/>
  <c r="T130" i="5"/>
  <c r="S130" i="5"/>
  <c r="R130" i="5"/>
  <c r="Q130" i="5"/>
  <c r="P130" i="5"/>
  <c r="K130" i="5"/>
  <c r="W129" i="5"/>
  <c r="K129" i="5"/>
  <c r="W128" i="5"/>
  <c r="K128" i="5"/>
  <c r="W127" i="5"/>
  <c r="K127" i="5"/>
  <c r="W126" i="5"/>
  <c r="K126" i="5"/>
  <c r="W125" i="5"/>
  <c r="K125" i="5"/>
  <c r="W124" i="5"/>
  <c r="K124" i="5"/>
  <c r="W123" i="5"/>
  <c r="K123" i="5"/>
  <c r="W122" i="5"/>
  <c r="K122" i="5"/>
  <c r="W121" i="5"/>
  <c r="K121" i="5"/>
  <c r="W120" i="5"/>
  <c r="K120" i="5"/>
  <c r="W119" i="5"/>
  <c r="K119" i="5"/>
  <c r="W118" i="5"/>
  <c r="K118" i="5"/>
  <c r="W117" i="5"/>
  <c r="K117" i="5"/>
  <c r="W116" i="5"/>
  <c r="K116" i="5"/>
  <c r="W115" i="5"/>
  <c r="K115" i="5"/>
  <c r="W114" i="5"/>
  <c r="K114" i="5"/>
  <c r="V108" i="5"/>
  <c r="U108" i="5"/>
  <c r="T108" i="5"/>
  <c r="S108" i="5"/>
  <c r="R108" i="5"/>
  <c r="Q108" i="5"/>
  <c r="P108" i="5"/>
  <c r="W107" i="5"/>
  <c r="J107" i="5"/>
  <c r="I107" i="5"/>
  <c r="H107" i="5"/>
  <c r="G107" i="5"/>
  <c r="F107" i="5"/>
  <c r="E107" i="5"/>
  <c r="D107" i="5"/>
  <c r="W106" i="5"/>
  <c r="K106" i="5"/>
  <c r="W105" i="5"/>
  <c r="K105" i="5"/>
  <c r="W104" i="5"/>
  <c r="K104" i="5"/>
  <c r="W103" i="5"/>
  <c r="K103" i="5"/>
  <c r="W102" i="5"/>
  <c r="K102" i="5"/>
  <c r="W101" i="5"/>
  <c r="K101" i="5"/>
  <c r="W100" i="5"/>
  <c r="K100" i="5"/>
  <c r="W99" i="5"/>
  <c r="K99" i="5"/>
  <c r="W98" i="5"/>
  <c r="K98" i="5"/>
  <c r="W97" i="5"/>
  <c r="K97" i="5"/>
  <c r="W96" i="5"/>
  <c r="K96" i="5"/>
  <c r="W95" i="5"/>
  <c r="K95" i="5"/>
  <c r="W94" i="5"/>
  <c r="K94" i="5"/>
  <c r="W93" i="5"/>
  <c r="K93" i="5"/>
  <c r="W92" i="5"/>
  <c r="K92" i="5"/>
  <c r="W91" i="5"/>
  <c r="K91" i="5"/>
  <c r="J84" i="5"/>
  <c r="I84" i="5"/>
  <c r="H84" i="5"/>
  <c r="G84" i="5"/>
  <c r="F84" i="5"/>
  <c r="E84" i="5"/>
  <c r="D84" i="5"/>
  <c r="V83" i="5"/>
  <c r="U83" i="5"/>
  <c r="T83" i="5"/>
  <c r="S83" i="5"/>
  <c r="R83" i="5"/>
  <c r="Q83" i="5"/>
  <c r="P83" i="5"/>
  <c r="K83" i="5"/>
  <c r="W82" i="5"/>
  <c r="K82" i="5"/>
  <c r="W81" i="5"/>
  <c r="K81" i="5"/>
  <c r="W80" i="5"/>
  <c r="K80" i="5"/>
  <c r="W79" i="5"/>
  <c r="K79" i="5"/>
  <c r="W78" i="5"/>
  <c r="K78" i="5"/>
  <c r="W77" i="5"/>
  <c r="K77" i="5"/>
  <c r="W76" i="5"/>
  <c r="K76" i="5"/>
  <c r="W75" i="5"/>
  <c r="K75" i="5"/>
  <c r="W74" i="5"/>
  <c r="K74" i="5"/>
  <c r="W73" i="5"/>
  <c r="K73" i="5"/>
  <c r="W72" i="5"/>
  <c r="K72" i="5"/>
  <c r="W71" i="5"/>
  <c r="K71" i="5"/>
  <c r="W70" i="5"/>
  <c r="K70" i="5"/>
  <c r="W69" i="5"/>
  <c r="K69" i="5"/>
  <c r="W68" i="5"/>
  <c r="K68" i="5"/>
  <c r="W67" i="5"/>
  <c r="K67" i="5"/>
  <c r="W66" i="5"/>
  <c r="K66" i="5"/>
  <c r="V60" i="5"/>
  <c r="U60" i="5"/>
  <c r="T60" i="5"/>
  <c r="S60" i="5"/>
  <c r="R60" i="5"/>
  <c r="Q60" i="5"/>
  <c r="P60" i="5"/>
  <c r="W59" i="5"/>
  <c r="J59" i="5"/>
  <c r="I59" i="5"/>
  <c r="H59" i="5"/>
  <c r="G59" i="5"/>
  <c r="F59" i="5"/>
  <c r="E59" i="5"/>
  <c r="D59" i="5"/>
  <c r="W58" i="5"/>
  <c r="K58" i="5"/>
  <c r="W57" i="5"/>
  <c r="K57" i="5"/>
  <c r="W56" i="5"/>
  <c r="K56" i="5"/>
  <c r="W55" i="5"/>
  <c r="K55" i="5"/>
  <c r="W54" i="5"/>
  <c r="K54" i="5"/>
  <c r="W53" i="5"/>
  <c r="K53" i="5"/>
  <c r="W52" i="5"/>
  <c r="K52" i="5"/>
  <c r="W51" i="5"/>
  <c r="K51" i="5"/>
  <c r="W50" i="5"/>
  <c r="K50" i="5"/>
  <c r="W49" i="5"/>
  <c r="K49" i="5"/>
  <c r="W48" i="5"/>
  <c r="K48" i="5"/>
  <c r="W47" i="5"/>
  <c r="K47" i="5"/>
  <c r="W46" i="5"/>
  <c r="K46" i="5"/>
  <c r="W45" i="5"/>
  <c r="K45" i="5"/>
  <c r="W44" i="5"/>
  <c r="K44" i="5"/>
  <c r="W43" i="5"/>
  <c r="K43" i="5"/>
  <c r="V37" i="5"/>
  <c r="U37" i="5"/>
  <c r="T37" i="5"/>
  <c r="S37" i="5"/>
  <c r="R37" i="5"/>
  <c r="Q37" i="5"/>
  <c r="P37" i="5"/>
  <c r="J37" i="5"/>
  <c r="I37" i="5"/>
  <c r="H37" i="5"/>
  <c r="G37" i="5"/>
  <c r="F37" i="5"/>
  <c r="E37" i="5"/>
  <c r="D37" i="5"/>
  <c r="W36" i="5"/>
  <c r="K36" i="5"/>
  <c r="W35" i="5"/>
  <c r="K35" i="5"/>
  <c r="W34" i="5"/>
  <c r="K34" i="5"/>
  <c r="W33" i="5"/>
  <c r="K33" i="5"/>
  <c r="W32" i="5"/>
  <c r="K32" i="5"/>
  <c r="W31" i="5"/>
  <c r="K31" i="5"/>
  <c r="W30" i="5"/>
  <c r="K30" i="5"/>
  <c r="W29" i="5"/>
  <c r="K29" i="5"/>
  <c r="W28" i="5"/>
  <c r="K28" i="5"/>
  <c r="W27" i="5"/>
  <c r="K27" i="5"/>
  <c r="W26" i="5"/>
  <c r="K26" i="5"/>
  <c r="W25" i="5"/>
  <c r="K25" i="5"/>
  <c r="W24" i="5"/>
  <c r="K24" i="5"/>
  <c r="W23" i="5"/>
  <c r="K23" i="5"/>
  <c r="W22" i="5"/>
  <c r="K22" i="5"/>
  <c r="W21" i="5"/>
  <c r="K21" i="5"/>
  <c r="K107" i="5" l="1"/>
  <c r="K169" i="6"/>
  <c r="V231" i="6"/>
  <c r="V53" i="6"/>
  <c r="V200" i="6"/>
  <c r="V376" i="6"/>
  <c r="K380" i="6"/>
  <c r="K203" i="6"/>
  <c r="K270" i="6"/>
  <c r="V340" i="6"/>
  <c r="V168" i="6"/>
  <c r="V463" i="6"/>
  <c r="K124" i="6"/>
  <c r="K231" i="6"/>
  <c r="K340" i="6"/>
  <c r="K87" i="6"/>
  <c r="K421" i="6"/>
  <c r="V263" i="6"/>
  <c r="K303" i="6"/>
  <c r="V92" i="6"/>
  <c r="V307" i="6"/>
  <c r="V421" i="6"/>
  <c r="V134" i="6"/>
  <c r="K451" i="6"/>
  <c r="W60" i="5"/>
  <c r="W108" i="5"/>
  <c r="W270" i="5"/>
  <c r="K293" i="5"/>
  <c r="K84" i="5"/>
  <c r="W130" i="5"/>
  <c r="W223" i="5"/>
  <c r="W83" i="5"/>
  <c r="W248" i="5"/>
  <c r="W292" i="5"/>
  <c r="K155" i="5"/>
  <c r="W37" i="5"/>
  <c r="K132" i="5"/>
  <c r="K224" i="5"/>
  <c r="W176" i="5"/>
  <c r="K246" i="5"/>
  <c r="K178" i="5"/>
  <c r="K270" i="5"/>
  <c r="K201" i="5"/>
  <c r="W153" i="5"/>
  <c r="K59" i="5"/>
  <c r="W200" i="5"/>
  <c r="K37" i="5"/>
</calcChain>
</file>

<file path=xl/sharedStrings.xml><?xml version="1.0" encoding="utf-8"?>
<sst xmlns="http://schemas.openxmlformats.org/spreadsheetml/2006/main" count="2766" uniqueCount="209">
  <si>
    <t>Cab</t>
  </si>
  <si>
    <t>Stretcher</t>
  </si>
  <si>
    <t>TNC Vendor</t>
  </si>
  <si>
    <t>Wheelchair</t>
  </si>
  <si>
    <t>CARSON CITY</t>
  </si>
  <si>
    <t>CHURCHILL</t>
  </si>
  <si>
    <t>DOUGLAS</t>
  </si>
  <si>
    <t>ELKO</t>
  </si>
  <si>
    <t>ESMERALDA</t>
  </si>
  <si>
    <t>EUREKA</t>
  </si>
  <si>
    <t>HUMBOLDT</t>
  </si>
  <si>
    <t>LANDER</t>
  </si>
  <si>
    <t>LINCOLN</t>
  </si>
  <si>
    <t>LYON</t>
  </si>
  <si>
    <t>MINERAL</t>
  </si>
  <si>
    <t>NYE</t>
  </si>
  <si>
    <t>PERSHING</t>
  </si>
  <si>
    <t>WHITE PINE</t>
  </si>
  <si>
    <t>CLARK</t>
  </si>
  <si>
    <t>WASHOE</t>
  </si>
  <si>
    <t>Total</t>
  </si>
  <si>
    <t>STOREY</t>
  </si>
  <si>
    <t>Authorized Trip Legs by County &amp; Mode</t>
  </si>
  <si>
    <t>Pick Up County</t>
  </si>
  <si>
    <t>Region</t>
  </si>
  <si>
    <t xml:space="preserve">Bus </t>
  </si>
  <si>
    <t>GMR</t>
  </si>
  <si>
    <t>Public Entity</t>
  </si>
  <si>
    <t>Rural</t>
  </si>
  <si>
    <t>Urban</t>
  </si>
  <si>
    <t>HAMILTON</t>
  </si>
  <si>
    <t>KENT</t>
  </si>
  <si>
    <t>ADA</t>
  </si>
  <si>
    <t>ALAMEDA</t>
  </si>
  <si>
    <t>CAMDEN</t>
  </si>
  <si>
    <t>CANYON</t>
  </si>
  <si>
    <t>DAVIS</t>
  </si>
  <si>
    <t>DISTRICT OF COLUMBIA</t>
  </si>
  <si>
    <t>EL DORADO</t>
  </si>
  <si>
    <t>ELMORE</t>
  </si>
  <si>
    <t>FRANKLIN</t>
  </si>
  <si>
    <t>GENESEE</t>
  </si>
  <si>
    <t>LOS ANGELES</t>
  </si>
  <si>
    <t>MARICOPA</t>
  </si>
  <si>
    <t>MOHAVE</t>
  </si>
  <si>
    <t>MONTGOMERY</t>
  </si>
  <si>
    <t>MULTNOMAH</t>
  </si>
  <si>
    <t>OKLAHOMA</t>
  </si>
  <si>
    <t>ORLEANS</t>
  </si>
  <si>
    <t>POLK</t>
  </si>
  <si>
    <t>PONTOTOC</t>
  </si>
  <si>
    <t>RIVERSIDE</t>
  </si>
  <si>
    <t>SACRAMENTO</t>
  </si>
  <si>
    <t>SAINT LOUIS</t>
  </si>
  <si>
    <t>SAINT LOUIS CITY</t>
  </si>
  <si>
    <t>SALT LAKE</t>
  </si>
  <si>
    <t>SAN BERNARDINO</t>
  </si>
  <si>
    <t>SAN DIEGO</t>
  </si>
  <si>
    <t>SAN JOAQUIN</t>
  </si>
  <si>
    <t>SAN MATEO</t>
  </si>
  <si>
    <t>SANTA CLARA</t>
  </si>
  <si>
    <t>TOOELE</t>
  </si>
  <si>
    <t>TRAVIS</t>
  </si>
  <si>
    <t>TWIN FALLS</t>
  </si>
  <si>
    <t>Unlisted County</t>
  </si>
  <si>
    <t>UTAH</t>
  </si>
  <si>
    <t>WASHINGTON</t>
  </si>
  <si>
    <t>WEBER</t>
  </si>
  <si>
    <t>State</t>
  </si>
  <si>
    <t>?</t>
  </si>
  <si>
    <t>FAULKNER</t>
  </si>
  <si>
    <t>AR</t>
  </si>
  <si>
    <t>AZ</t>
  </si>
  <si>
    <t>OUACHITA</t>
  </si>
  <si>
    <t>CA</t>
  </si>
  <si>
    <t>NEVADA</t>
  </si>
  <si>
    <t>ORANGE</t>
  </si>
  <si>
    <t>CO</t>
  </si>
  <si>
    <t>FL</t>
  </si>
  <si>
    <t>ID</t>
  </si>
  <si>
    <t>IL</t>
  </si>
  <si>
    <t>MO</t>
  </si>
  <si>
    <t>BREVARD</t>
  </si>
  <si>
    <t>MS</t>
  </si>
  <si>
    <t>SOLANO</t>
  </si>
  <si>
    <t>OH</t>
  </si>
  <si>
    <t>VENTURA</t>
  </si>
  <si>
    <t>OK</t>
  </si>
  <si>
    <t>ADAMS</t>
  </si>
  <si>
    <t>OR</t>
  </si>
  <si>
    <t>LEON</t>
  </si>
  <si>
    <t>KOOTENAI</t>
  </si>
  <si>
    <t>UT</t>
  </si>
  <si>
    <t>VA</t>
  </si>
  <si>
    <t>MADISON</t>
  </si>
  <si>
    <t>MCLEAN</t>
  </si>
  <si>
    <t>WI</t>
  </si>
  <si>
    <t>GREENE</t>
  </si>
  <si>
    <t>LAUDERDALE</t>
  </si>
  <si>
    <t>CUYAHOGA</t>
  </si>
  <si>
    <t>LINN</t>
  </si>
  <si>
    <t>IRON</t>
  </si>
  <si>
    <t>MILWAUKEE</t>
  </si>
  <si>
    <t>COLONIAL HEIGHTS CITY</t>
  </si>
  <si>
    <t>CONTRA COSTA</t>
  </si>
  <si>
    <t>INYO</t>
  </si>
  <si>
    <t>FRESNO</t>
  </si>
  <si>
    <t>LA</t>
  </si>
  <si>
    <t>MN</t>
  </si>
  <si>
    <t>MT</t>
  </si>
  <si>
    <t>DENVER</t>
  </si>
  <si>
    <t>JACKSON</t>
  </si>
  <si>
    <t>BROWARD</t>
  </si>
  <si>
    <t>MIAMI-DADE</t>
  </si>
  <si>
    <t>PA</t>
  </si>
  <si>
    <t>TN</t>
  </si>
  <si>
    <t>OLMSTED</t>
  </si>
  <si>
    <t>SAINT TAMMANY</t>
  </si>
  <si>
    <t>RICHLAND</t>
  </si>
  <si>
    <t>COAHOMA</t>
  </si>
  <si>
    <t>HINDS</t>
  </si>
  <si>
    <t>PHILADELPHIA</t>
  </si>
  <si>
    <t>LEFLORE</t>
  </si>
  <si>
    <t>DAVIDSON</t>
  </si>
  <si>
    <t>JUAB</t>
  </si>
  <si>
    <t>PIMA</t>
  </si>
  <si>
    <t>BUTTE</t>
  </si>
  <si>
    <t>IA</t>
  </si>
  <si>
    <t>TX</t>
  </si>
  <si>
    <t>ARAPAHOE</t>
  </si>
  <si>
    <t>PLUMAS</t>
  </si>
  <si>
    <t>SAN FRANCISCO</t>
  </si>
  <si>
    <t>BLOUNT</t>
  </si>
  <si>
    <t>WA</t>
  </si>
  <si>
    <t>BOONE</t>
  </si>
  <si>
    <t>SUMMIT</t>
  </si>
  <si>
    <t>KING</t>
  </si>
  <si>
    <t>FORREST</t>
  </si>
  <si>
    <t>WESTMORELAND</t>
  </si>
  <si>
    <t>ARLINGTON</t>
  </si>
  <si>
    <t>MONTEREY</t>
  </si>
  <si>
    <t>SHASTA</t>
  </si>
  <si>
    <t>JEFFERSON</t>
  </si>
  <si>
    <t>STARK</t>
  </si>
  <si>
    <t>SAINT CLAIR</t>
  </si>
  <si>
    <t>DALLAS</t>
  </si>
  <si>
    <t>HENRICO</t>
  </si>
  <si>
    <t>NEW KENT</t>
  </si>
  <si>
    <t>KERN</t>
  </si>
  <si>
    <t>NM</t>
  </si>
  <si>
    <t>SAN MIGUEL</t>
  </si>
  <si>
    <t>RI</t>
  </si>
  <si>
    <t>SC</t>
  </si>
  <si>
    <t>PROVIDENCE</t>
  </si>
  <si>
    <t>FAIRFIELD</t>
  </si>
  <si>
    <t>KANE</t>
  </si>
  <si>
    <t>GREEN LAKE</t>
  </si>
  <si>
    <t>MARQUETTE</t>
  </si>
  <si>
    <t>MI</t>
  </si>
  <si>
    <t>NE</t>
  </si>
  <si>
    <t>WASHTENAW</t>
  </si>
  <si>
    <t>KNOX</t>
  </si>
  <si>
    <t>HARRIS</t>
  </si>
  <si>
    <t>DANE</t>
  </si>
  <si>
    <t>IN</t>
  </si>
  <si>
    <t>KS</t>
  </si>
  <si>
    <t>PLACER</t>
  </si>
  <si>
    <t>PORTER</t>
  </si>
  <si>
    <t>BUTLER</t>
  </si>
  <si>
    <t>WHATCOM</t>
  </si>
  <si>
    <t>COCONINO</t>
  </si>
  <si>
    <t>PINAL</t>
  </si>
  <si>
    <t>LAKE</t>
  </si>
  <si>
    <t>NC</t>
  </si>
  <si>
    <t>DURHAM</t>
  </si>
  <si>
    <t>NEWPORT</t>
  </si>
  <si>
    <t>YUBA</t>
  </si>
  <si>
    <t>BERNALILLO</t>
  </si>
  <si>
    <t>COLE</t>
  </si>
  <si>
    <t>LICKING</t>
  </si>
  <si>
    <t>HARRISON</t>
  </si>
  <si>
    <t>HIDALGO</t>
  </si>
  <si>
    <t>LARIMER</t>
  </si>
  <si>
    <t>HILLSBOROUGH</t>
  </si>
  <si>
    <t>BONNEVILLE</t>
  </si>
  <si>
    <t>MANATEE</t>
  </si>
  <si>
    <t>CASSIA</t>
  </si>
  <si>
    <t>CLEARWATER</t>
  </si>
  <si>
    <t>LEWIS</t>
  </si>
  <si>
    <t>BELL</t>
  </si>
  <si>
    <t>PREBLE</t>
  </si>
  <si>
    <t>CADDO</t>
  </si>
  <si>
    <t>EMERY</t>
  </si>
  <si>
    <t>WAYNE</t>
  </si>
  <si>
    <t>HI</t>
  </si>
  <si>
    <t>HONOLULU</t>
  </si>
  <si>
    <t>CERRO GORDO</t>
  </si>
  <si>
    <t>COOK</t>
  </si>
  <si>
    <t>SEDGWICK</t>
  </si>
  <si>
    <t>HENNEPIN</t>
  </si>
  <si>
    <t>SHERBURNE</t>
  </si>
  <si>
    <t>WILKES</t>
  </si>
  <si>
    <t>ANDERSON</t>
  </si>
  <si>
    <t>WILLIAMSON</t>
  </si>
  <si>
    <t>WINNEBAGO</t>
  </si>
  <si>
    <t>DC</t>
  </si>
  <si>
    <t>NJ</t>
  </si>
  <si>
    <t>SHEBOYGAN</t>
  </si>
  <si>
    <t xml:space="preserve">Authorized Trip Legs by County &amp; Mode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</si>
</sst>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21" x14ac:knownFonts="1">
    <font>
      <sz val="11"/>
      <color rgb="FF000000"/>
      <name val="Calibri"/>
      <family val="2"/>
      <scheme val="minor"/>
    </font>
    <font>
      <b/>
      <sz val="18"/>
      <color theme="0"/>
      <name val="Nirmala UI"/>
      <family val="2"/>
    </font>
    <font>
      <b/>
      <sz val="16"/>
      <color rgb="FF006666"/>
      <name val="Nirmala UI"/>
      <family val="2"/>
    </font>
    <font>
      <sz val="12"/>
      <color theme="1"/>
      <name val="Nirmala UI"/>
      <family val="2"/>
    </font>
    <font>
      <b/>
      <sz val="16"/>
      <color rgb="FF666699"/>
      <name val="Nirmala UI"/>
      <family val="2"/>
    </font>
    <font>
      <sz val="11"/>
      <color rgb="FF000000"/>
      <name val="Nirmala UI"/>
      <family val="2"/>
    </font>
    <font>
      <b/>
      <sz val="14"/>
      <color theme="0"/>
      <name val="Nirmala UI"/>
      <family val="2"/>
    </font>
    <font>
      <sz val="14"/>
      <color theme="0"/>
      <name val="Nirmala UI"/>
      <family val="2"/>
    </font>
    <font>
      <b/>
      <sz val="12"/>
      <color theme="1"/>
      <name val="Nirmala UI"/>
      <family val="2"/>
    </font>
    <font>
      <b/>
      <sz val="11"/>
      <color theme="1"/>
      <name val="Nirmala UI"/>
      <family val="2"/>
    </font>
    <font>
      <b/>
      <sz val="16"/>
      <color theme="7" tint="-0.499984740745262"/>
      <name val="Nirmala UI"/>
      <family val="2"/>
    </font>
    <font>
      <b/>
      <sz val="16"/>
      <color theme="9" tint="-0.499984740745262"/>
      <name val="Nirmala UI"/>
      <family val="2"/>
    </font>
    <font>
      <sz val="12"/>
      <color rgb="FF000000"/>
      <name val="Nirmala UI"/>
      <family val="2"/>
    </font>
    <font>
      <b/>
      <sz val="12"/>
      <color theme="6" tint="-0.499984740745262"/>
      <name val="Nirmala UI"/>
      <family val="2"/>
    </font>
    <font>
      <sz val="12"/>
      <color theme="0"/>
      <name val="Nirmala UI"/>
      <family val="2"/>
    </font>
    <font>
      <sz val="11"/>
      <color theme="0"/>
      <name val="Nirmala UI"/>
      <family val="2"/>
    </font>
    <font>
      <b/>
      <sz val="14"/>
      <color rgb="FF006666"/>
      <name val="Nirmala UI"/>
      <family val="2"/>
    </font>
    <font>
      <sz val="14"/>
      <color rgb="FF000000"/>
      <name val="Nirmala UI"/>
      <family val="2"/>
    </font>
    <font>
      <b/>
      <sz val="11"/>
      <color rgb="FF000000"/>
      <name val="Nirmala UI"/>
      <family val="2"/>
    </font>
    <font>
      <b/>
      <sz val="14"/>
      <color rgb="FF666699"/>
      <name val="Nirmala UI"/>
      <family val="2"/>
    </font>
    <font>
      <sz val="11"/>
      <color rgb="FF666699"/>
      <name val="Nirmala U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66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theme="1" tint="0.249977111117893"/>
      </bottom>
      <diagonal/>
    </border>
    <border>
      <left/>
      <right/>
      <top/>
      <bottom style="medium">
        <color theme="1" tint="0.249977111117893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5" fillId="0" borderId="0" xfId="0" applyFont="1"/>
    <xf numFmtId="0" fontId="6" fillId="5" borderId="0" xfId="0" applyFont="1" applyFill="1" applyAlignment="1">
      <alignment horizontal="center" vertical="center"/>
    </xf>
    <xf numFmtId="1" fontId="6" fillId="5" borderId="0" xfId="0" applyNumberFormat="1" applyFont="1" applyFill="1" applyAlignment="1">
      <alignment horizontal="center" vertical="center"/>
    </xf>
    <xf numFmtId="0" fontId="7" fillId="0" borderId="0" xfId="0" applyFont="1"/>
    <xf numFmtId="0" fontId="6" fillId="8" borderId="0" xfId="0" applyFont="1" applyFill="1" applyAlignment="1">
      <alignment horizontal="center" vertical="center"/>
    </xf>
    <xf numFmtId="1" fontId="6" fillId="8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7" fillId="0" borderId="0" xfId="0" applyFont="1" applyAlignment="1">
      <alignment horizontal="center" vertical="center"/>
    </xf>
    <xf numFmtId="0" fontId="12" fillId="0" borderId="0" xfId="0" applyFont="1"/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3" fillId="0" borderId="2" xfId="0" applyFont="1" applyBorder="1"/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20" fillId="0" borderId="0" xfId="0" applyFont="1"/>
    <xf numFmtId="164" fontId="1" fillId="3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1" fillId="8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1255">
    <dxf>
      <fill>
        <gradientFill degree="90">
          <stop position="0">
            <color theme="3" tint="0.89803765984069339"/>
          </stop>
          <stop position="0.5">
            <color theme="0" tint="-5.0965910824915313E-2"/>
          </stop>
          <stop position="1">
            <color theme="3" tint="0.89803765984069339"/>
          </stop>
        </gradientFill>
      </fill>
    </dxf>
    <dxf>
      <fill>
        <gradientFill degree="90">
          <stop position="0">
            <color theme="5" tint="0.80001220740379042"/>
          </stop>
          <stop position="0.5">
            <color rgb="FFFFFFE7"/>
          </stop>
          <stop position="1">
            <color theme="5" tint="0.80001220740379042"/>
          </stop>
        </gradientFill>
      </fill>
    </dxf>
    <dxf>
      <fill>
        <gradientFill type="path" left="0.5" right="0.5" top="0.5" bottom="0.5">
          <stop position="0">
            <color theme="9" tint="0.80001220740379042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rgb="FFFFFFE1"/>
          </stop>
          <stop position="0.5">
            <color theme="0"/>
          </stop>
          <stop position="1">
            <color rgb="FFFFFFE1"/>
          </stop>
        </gradientFill>
      </fill>
    </dxf>
    <dxf>
      <fill>
        <gradientFill degree="90">
          <stop position="0">
            <color theme="9" tint="0.80001220740379042"/>
          </stop>
          <stop position="0.5">
            <color theme="0"/>
          </stop>
          <stop position="1">
            <color theme="9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0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7" tint="0.80001220740379042"/>
          </stop>
          <stop position="0.5">
            <color theme="0"/>
          </stop>
          <stop position="1">
            <color theme="7" tint="0.80001220740379042"/>
          </stop>
        </gradientFill>
      </fill>
    </dxf>
    <dxf>
      <fill>
        <gradientFill degree="90">
          <stop position="0">
            <color theme="6" tint="0.80001220740379042"/>
          </stop>
          <stop position="0.5">
            <color theme="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/>
          </stop>
          <stop position="0.5">
            <color theme="5" tint="0.80001220740379042"/>
          </stop>
          <stop position="1">
            <color theme="0"/>
          </stop>
        </gradientFill>
      </fill>
    </dxf>
    <dxf>
      <fill>
        <gradientFill degree="90">
          <stop position="0">
            <color theme="3" tint="0.89803765984069339"/>
          </stop>
          <stop position="0.5">
            <color theme="0"/>
          </stop>
          <stop position="1">
            <color theme="3" tint="0.89803765984069339"/>
          </stop>
        </gradientFill>
      </fill>
    </dxf>
    <dxf>
      <fill>
        <gradientFill degree="90">
          <stop position="0">
            <color theme="0"/>
          </stop>
          <stop position="0.5">
            <color rgb="FFF5EBFF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4E8DC"/>
          </stop>
          <stop position="1">
            <color theme="0"/>
          </stop>
        </gradientFill>
      </fill>
    </dxf>
    <dxf>
      <fill>
        <gradientFill degree="90">
          <stop position="0">
            <color theme="4" tint="0.80001220740379042"/>
          </stop>
          <stop position="0.5">
            <color theme="0" tint="-5.0965910824915313E-2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0.5">
            <color theme="9" tint="0.80001220740379042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theme="0" tint="-5.0965910824915313E-2"/>
          </stop>
          <stop position="0.5">
            <color rgb="FFD7D7E5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0" tint="-5.0965910824915313E-2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rgb="FFEBFFEB"/>
          </stop>
          <stop position="0.5">
            <color theme="0" tint="-5.0965910824915313E-2"/>
          </stop>
          <stop position="1">
            <color rgb="FFEBFFEB"/>
          </stop>
        </gradientFill>
      </fill>
    </dxf>
    <dxf>
      <fill>
        <gradientFill degree="90">
          <stop position="0">
            <color rgb="FFFFE5E5"/>
          </stop>
          <stop position="0.5">
            <color theme="0" tint="-5.0965910824915313E-2"/>
          </stop>
          <stop position="1">
            <color rgb="FFFFE5E5"/>
          </stop>
        </gradientFill>
      </fill>
    </dxf>
    <dxf>
      <fill>
        <gradientFill degree="90">
          <stop position="0">
            <color rgb="FFEFFFFF"/>
          </stop>
          <stop position="0.5">
            <color theme="0" tint="-5.0965910824915313E-2"/>
          </stop>
          <stop position="1">
            <color rgb="FFEFFFFF"/>
          </stop>
        </gradientFill>
      </fill>
    </dxf>
    <dxf>
      <fill>
        <gradientFill degree="90">
          <stop position="0">
            <color rgb="FFFFCC99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rgb="FFFFEFFF"/>
          </stop>
          <stop position="0.5">
            <color theme="0" tint="-5.0965910824915313E-2"/>
          </stop>
          <stop position="1">
            <color rgb="FFFFEFFF"/>
          </stop>
        </gradientFill>
      </fill>
    </dxf>
    <dxf>
      <fill>
        <gradientFill degree="90">
          <stop position="0">
            <color rgb="FFFFFFE1"/>
          </stop>
          <stop position="0.5">
            <color theme="0" tint="-5.0965910824915313E-2"/>
          </stop>
          <stop position="1">
            <color rgb="FFFFFFE1"/>
          </stop>
        </gradientFill>
      </fill>
    </dxf>
    <dxf>
      <fill>
        <gradientFill degree="90">
          <stop position="0">
            <color rgb="FFF5EBFF"/>
          </stop>
          <stop position="0.5">
            <color theme="0" tint="-5.0965910824915313E-2"/>
          </stop>
          <stop position="1">
            <color rgb="FFF5EBFF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rgb="FFF4E8DC"/>
          </stop>
        </gradientFill>
      </fill>
    </dxf>
    <dxf>
      <fill>
        <gradientFill degree="90">
          <stop position="0">
            <color theme="9" tint="0.80001220740379042"/>
          </stop>
          <stop position="0.5">
            <color theme="0" tint="-5.0965910824915313E-2"/>
          </stop>
          <stop position="1">
            <color theme="9" tint="0.80001220740379042"/>
          </stop>
        </gradientFill>
      </fill>
    </dxf>
    <dxf>
      <fill>
        <gradientFill degree="90">
          <stop position="0">
            <color rgb="FFF4E8DC"/>
          </stop>
          <stop position="0.5">
            <color theme="0" tint="-5.0965910824915313E-2"/>
          </stop>
          <stop position="1">
            <color rgb="FFF4E8DC"/>
          </stop>
        </gradientFill>
      </fill>
    </dxf>
    <dxf>
      <fill>
        <gradientFill degree="90">
          <stop position="0">
            <color rgb="FFFFE5E5"/>
          </stop>
          <stop position="0.5">
            <color rgb="FFEFFFFF"/>
          </stop>
          <stop position="1">
            <color rgb="FFFFE5E5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rgb="FFFFEFFF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5" tint="0.80001220740379042"/>
          </stop>
          <stop position="0.5">
            <color rgb="FFF4E8DC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9803765984069339"/>
          </stop>
          <stop position="0.5">
            <color theme="3" tint="0.74901577806939912"/>
          </stop>
          <stop position="1">
            <color theme="3" tint="0.89803765984069339"/>
          </stop>
        </gradientFill>
      </fill>
    </dxf>
    <dxf>
      <fill>
        <gradientFill degree="90">
          <stop position="0">
            <color rgb="FFF5EBFF"/>
          </stop>
          <stop position="0.5">
            <color theme="3" tint="0.89803765984069339"/>
          </stop>
          <stop position="1">
            <color rgb="FFF5EBFF"/>
          </stop>
        </gradientFill>
      </fill>
    </dxf>
    <dxf>
      <fill>
        <gradientFill degree="90">
          <stop position="0">
            <color theme="0"/>
          </stop>
          <stop position="0.5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9803765984069339"/>
          </stop>
          <stop position="0.5">
            <color theme="0" tint="-5.0965910824915313E-2"/>
          </stop>
          <stop position="1">
            <color theme="3" tint="0.89803765984069339"/>
          </stop>
        </gradientFill>
      </fill>
    </dxf>
    <dxf>
      <fill>
        <gradientFill degree="90">
          <stop position="0">
            <color rgb="FFE7F3FF"/>
          </stop>
          <stop position="0.5">
            <color theme="0" tint="-5.0965910824915313E-2"/>
          </stop>
          <stop position="1">
            <color rgb="FFE7F3FF"/>
          </stop>
        </gradientFill>
      </fill>
    </dxf>
    <dxf>
      <fill>
        <gradientFill degree="90">
          <stop position="0">
            <color rgb="FFFFFFE1"/>
          </stop>
          <stop position="0.5">
            <color theme="0"/>
          </stop>
          <stop position="1">
            <color rgb="FFFFFFE1"/>
          </stop>
        </gradientFill>
      </fill>
    </dxf>
    <dxf>
      <fill>
        <gradientFill degree="90">
          <stop position="0">
            <color theme="9" tint="0.80001220740379042"/>
          </stop>
          <stop position="0.5">
            <color theme="0"/>
          </stop>
          <stop position="1">
            <color theme="9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0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7" tint="0.80001220740379042"/>
          </stop>
          <stop position="0.5">
            <color theme="0"/>
          </stop>
          <stop position="1">
            <color theme="7" tint="0.80001220740379042"/>
          </stop>
        </gradientFill>
      </fill>
    </dxf>
    <dxf>
      <fill>
        <gradientFill degree="90">
          <stop position="0">
            <color theme="6" tint="0.80001220740379042"/>
          </stop>
          <stop position="0.5">
            <color theme="0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/>
          </stop>
          <stop position="0.5">
            <color theme="5" tint="0.80001220740379042"/>
          </stop>
          <stop position="1">
            <color theme="0"/>
          </stop>
        </gradientFill>
      </fill>
    </dxf>
    <dxf>
      <fill>
        <gradientFill degree="90">
          <stop position="0">
            <color theme="5" tint="0.80001220740379042"/>
          </stop>
          <stop position="0.5">
            <color rgb="FFFFFFE7"/>
          </stop>
          <stop position="1">
            <color theme="5" tint="0.80001220740379042"/>
          </stop>
        </gradientFill>
      </fill>
    </dxf>
    <dxf>
      <fill>
        <gradientFill type="path" left="0.5" right="0.5" top="0.5" bottom="0.5">
          <stop position="0">
            <color theme="9" tint="0.80001220740379042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theme="3" tint="0.89803765984069339"/>
          </stop>
          <stop position="0.5">
            <color theme="0"/>
          </stop>
          <stop position="1">
            <color theme="3" tint="0.89803765984069339"/>
          </stop>
        </gradientFill>
      </fill>
    </dxf>
    <dxf>
      <fill>
        <gradientFill degree="90">
          <stop position="0">
            <color theme="0"/>
          </stop>
          <stop position="0.5">
            <color rgb="FFF4E8DC"/>
          </stop>
          <stop position="1">
            <color theme="0"/>
          </stop>
        </gradientFill>
      </fill>
    </dxf>
    <dxf>
      <fill>
        <gradientFill degree="90">
          <stop position="0">
            <color theme="4" tint="0.80001220740379042"/>
          </stop>
          <stop position="0.5">
            <color theme="0" tint="-5.0965910824915313E-2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0.5">
            <color theme="9" tint="0.80001220740379042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theme="0" tint="-5.0965910824915313E-2"/>
          </stop>
          <stop position="0.5">
            <color rgb="FFD7D7E5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0" tint="-5.0965910824915313E-2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rgb="FFEBFFEB"/>
          </stop>
          <stop position="0.5">
            <color theme="0" tint="-5.0965910824915313E-2"/>
          </stop>
          <stop position="1">
            <color rgb="FFEBFFEB"/>
          </stop>
        </gradientFill>
      </fill>
    </dxf>
    <dxf>
      <fill>
        <gradientFill degree="90">
          <stop position="0">
            <color rgb="FFFFE5E5"/>
          </stop>
          <stop position="0.5">
            <color theme="0" tint="-5.0965910824915313E-2"/>
          </stop>
          <stop position="1">
            <color rgb="FFFFE5E5"/>
          </stop>
        </gradientFill>
      </fill>
    </dxf>
    <dxf>
      <fill>
        <gradientFill degree="90">
          <stop position="0">
            <color rgb="FFEFFFFF"/>
          </stop>
          <stop position="0.5">
            <color theme="0" tint="-5.0965910824915313E-2"/>
          </stop>
          <stop position="1">
            <color rgb="FFEFFFFF"/>
          </stop>
        </gradientFill>
      </fill>
    </dxf>
    <dxf>
      <fill>
        <gradientFill degree="90">
          <stop position="0">
            <color rgb="FFFFCC99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rgb="FFFFEFFF"/>
          </stop>
          <stop position="0.5">
            <color theme="0" tint="-5.0965910824915313E-2"/>
          </stop>
          <stop position="1">
            <color rgb="FFFFEFFF"/>
          </stop>
        </gradientFill>
      </fill>
    </dxf>
    <dxf>
      <fill>
        <gradientFill degree="90">
          <stop position="0">
            <color rgb="FFFFFFE1"/>
          </stop>
          <stop position="0.5">
            <color theme="0" tint="-5.0965910824915313E-2"/>
          </stop>
          <stop position="1">
            <color rgb="FFFFFFE1"/>
          </stop>
        </gradientFill>
      </fill>
    </dxf>
    <dxf>
      <fill>
        <gradientFill degree="90">
          <stop position="0">
            <color rgb="FFF5EBFF"/>
          </stop>
          <stop position="0.5">
            <color theme="0" tint="-5.0965910824915313E-2"/>
          </stop>
          <stop position="1">
            <color rgb="FFF5EBFF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rgb="FFF4E8DC"/>
          </stop>
        </gradientFill>
      </fill>
    </dxf>
    <dxf>
      <fill>
        <gradientFill degree="90">
          <stop position="0">
            <color theme="9" tint="0.80001220740379042"/>
          </stop>
          <stop position="0.5">
            <color theme="0" tint="-5.0965910824915313E-2"/>
          </stop>
          <stop position="1">
            <color theme="9" tint="0.80001220740379042"/>
          </stop>
        </gradientFill>
      </fill>
    </dxf>
    <dxf>
      <fill>
        <gradientFill degree="90">
          <stop position="0">
            <color rgb="FFF4E8DC"/>
          </stop>
          <stop position="0.5">
            <color theme="0" tint="-5.0965910824915313E-2"/>
          </stop>
          <stop position="1">
            <color rgb="FFF4E8DC"/>
          </stop>
        </gradientFill>
      </fill>
    </dxf>
    <dxf>
      <fill>
        <gradientFill degree="90">
          <stop position="0">
            <color theme="3" tint="0.89803765984069339"/>
          </stop>
          <stop position="0.5">
            <color theme="0" tint="-5.0965910824915313E-2"/>
          </stop>
          <stop position="1">
            <color theme="3" tint="0.89803765984069339"/>
          </stop>
        </gradientFill>
      </fill>
    </dxf>
    <dxf>
      <fill>
        <gradientFill degree="90">
          <stop position="0">
            <color rgb="FFFFE5E5"/>
          </stop>
          <stop position="0.5">
            <color rgb="FFEFFFFF"/>
          </stop>
          <stop position="1">
            <color rgb="FFFFE5E5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rgb="FFFFEFFF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5" tint="0.80001220740379042"/>
          </stop>
          <stop position="0.5">
            <color rgb="FFF4E8DC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9803765984069339"/>
          </stop>
          <stop position="0.5">
            <color theme="3" tint="0.74901577806939912"/>
          </stop>
          <stop position="1">
            <color theme="3" tint="0.89803765984069339"/>
          </stop>
        </gradientFill>
      </fill>
    </dxf>
    <dxf>
      <fill>
        <gradientFill degree="90">
          <stop position="0">
            <color rgb="FFF5EBFF"/>
          </stop>
          <stop position="0.5">
            <color theme="3" tint="0.89803765984069339"/>
          </stop>
          <stop position="1">
            <color rgb="FFF5EBFF"/>
          </stop>
        </gradientFill>
      </fill>
    </dxf>
    <dxf>
      <fill>
        <gradientFill degree="90">
          <stop position="0">
            <color theme="0"/>
          </stop>
          <stop position="0.5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9803765984069339"/>
          </stop>
          <stop position="0.5">
            <color theme="0" tint="-5.0965910824915313E-2"/>
          </stop>
          <stop position="1">
            <color theme="3" tint="0.89803765984069339"/>
          </stop>
        </gradientFill>
      </fill>
    </dxf>
    <dxf>
      <fill>
        <gradientFill degree="90">
          <stop position="0">
            <color rgb="FFE7F3FF"/>
          </stop>
          <stop position="0.5">
            <color theme="0" tint="-5.0965910824915313E-2"/>
          </stop>
          <stop position="1">
            <color rgb="FFE7F3FF"/>
          </stop>
        </gradientFill>
      </fill>
    </dxf>
    <dxf>
      <fill>
        <gradientFill degree="90">
          <stop position="0">
            <color theme="0"/>
          </stop>
          <stop position="0.5">
            <color rgb="FFF5EBFF"/>
          </stop>
          <stop position="1">
            <color theme="0"/>
          </stop>
        </gradientFill>
      </fill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9" tint="-0.49998474074526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font>
        <b/>
        <i val="0"/>
        <color theme="3" tint="9.9948118533890809E-2"/>
      </font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666699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6666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4"/>
        <color rgb="FF006666"/>
        <name val="Nirmala UI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numFmt numFmtId="1" formatCode="0"/>
      <fill>
        <patternFill patternType="solid">
          <fgColor indexed="64"/>
          <bgColor rgb="FF0066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6" tint="-0.499984740745262"/>
        <name val="Nirmala UI"/>
        <family val="2"/>
        <scheme val="none"/>
      </font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Nirmala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Nirmala UI"/>
        <family val="2"/>
        <scheme val="none"/>
      </font>
      <fill>
        <patternFill patternType="solid">
          <fgColor indexed="64"/>
          <bgColor theme="3" tint="0.89999084444715716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Nirmala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0"/>
        <name val="Nirmala U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7C858C"/>
      <rgbColor rgb="00FFFFFF"/>
      <rgbColor rgb="00423F8F"/>
      <rgbColor rgb="006495ED"/>
      <rgbColor rgb="00024F6E"/>
      <rgbColor rgb="00C0C0C0"/>
      <rgbColor rgb="00DCDCDC"/>
      <rgbColor rgb="00336376"/>
      <rgbColor rgb="00000080"/>
      <rgbColor rgb="00808000"/>
      <rgbColor rgb="00800080"/>
      <rgbColor rgb="00008080"/>
      <rgbColor rgb="0000FF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6699"/>
      <color rgb="FF006666"/>
      <color rgb="FFFFFFE1"/>
      <color rgb="FF800000"/>
      <color rgb="FFFFE5E5"/>
      <color rgb="FFF4E8DC"/>
      <color rgb="FFE7F3FF"/>
      <color rgb="FFF5EBFF"/>
      <color rgb="FFFFEFFF"/>
      <color rgb="FFFF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438027</xdr:colOff>
      <xdr:row>0</xdr:row>
      <xdr:rowOff>163286</xdr:rowOff>
    </xdr:from>
    <xdr:to>
      <xdr:col>23</xdr:col>
      <xdr:colOff>0</xdr:colOff>
      <xdr:row>7</xdr:row>
      <xdr:rowOff>111331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0ABDAAE-FD5D-44ED-9BBD-CAEA81382025}"/>
            </a:ext>
          </a:extLst>
        </xdr:cNvPr>
        <xdr:cNvSpPr txBox="1"/>
      </xdr:nvSpPr>
      <xdr:spPr>
        <a:xfrm>
          <a:off x="1050348" y="163286"/>
          <a:ext cx="23515493" cy="1281545"/>
        </a:xfrm>
        <a:prstGeom prst="rect">
          <a:avLst/>
        </a:prstGeom>
        <a:solidFill>
          <a:schemeClr val="bg1"/>
        </a:solidFill>
        <a:ln w="9525" cmpd="sng">
          <a:solidFill>
            <a:schemeClr val="bg1">
              <a:lumMod val="85000"/>
            </a:schemeClr>
          </a:solidFill>
        </a:ln>
        <a:effectLst>
          <a:outerShdw blurRad="50800" dist="50800" dir="5400000" sx="102000" sy="102000" algn="ctr" rotWithShape="0">
            <a:schemeClr val="tx1">
              <a:lumMod val="50000"/>
              <a:lumOff val="50000"/>
              <a:alpha val="50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002060"/>
              </a:solidFill>
              <a:effectLst>
                <a:innerShdw blurRad="114300">
                  <a:prstClr val="black"/>
                </a:innerShdw>
              </a:effectLst>
              <a:latin typeface="Mangal Pro" panose="00000500000000000000" pitchFamily="2" charset="0"/>
              <a:cs typeface="Mangal Pro" panose="00000500000000000000" pitchFamily="2" charset="0"/>
            </a:rPr>
            <a:t>Network Utilization By County and Transportation Mode </a:t>
          </a:r>
        </a:p>
        <a:p>
          <a:pPr algn="ctr"/>
          <a:r>
            <a:rPr lang="en-US" sz="2400" b="1">
              <a:solidFill>
                <a:srgbClr val="002060"/>
              </a:solidFill>
              <a:effectLst>
                <a:innerShdw blurRad="114300">
                  <a:prstClr val="black"/>
                </a:innerShdw>
              </a:effectLst>
              <a:latin typeface="Mangal Pro" panose="00000500000000000000" pitchFamily="2" charset="0"/>
              <a:cs typeface="Mangal Pro" panose="00000500000000000000" pitchFamily="2" charset="0"/>
            </a:rPr>
            <a:t>In-State </a:t>
          </a:r>
        </a:p>
      </xdr:txBody>
    </xdr:sp>
    <xdr:clientData/>
  </xdr:twoCellAnchor>
  <xdr:twoCellAnchor>
    <xdr:from>
      <xdr:col>2</xdr:col>
      <xdr:colOff>34636</xdr:colOff>
      <xdr:row>10</xdr:row>
      <xdr:rowOff>34637</xdr:rowOff>
    </xdr:from>
    <xdr:to>
      <xdr:col>9</xdr:col>
      <xdr:colOff>63087</xdr:colOff>
      <xdr:row>14</xdr:row>
      <xdr:rowOff>188026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97D5932-0048-454A-B7DC-2EAFD3C0942B}"/>
            </a:ext>
          </a:extLst>
        </xdr:cNvPr>
        <xdr:cNvSpPr txBox="1"/>
      </xdr:nvSpPr>
      <xdr:spPr>
        <a:xfrm>
          <a:off x="2286000" y="2112819"/>
          <a:ext cx="6592042" cy="984662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>
              <a:lumMod val="85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threePt" dir="t"/>
          </a:scene3d>
          <a:sp3d contourW="12700">
            <a:contourClr>
              <a:schemeClr val="accent1"/>
            </a:contourClr>
          </a:sp3d>
        </a:bodyPr>
        <a:lstStyle/>
        <a:p>
          <a:pPr algn="ctr"/>
          <a:r>
            <a:rPr lang="en-US" sz="4400" b="1">
              <a:ln>
                <a:noFill/>
              </a:ln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  <a:latin typeface="Mangal Pro" panose="00000500000000000000" pitchFamily="2" charset="0"/>
              <a:cs typeface="Mangal Pro" panose="00000500000000000000" pitchFamily="2" charset="0"/>
            </a:rPr>
            <a:t>2024</a:t>
          </a:r>
        </a:p>
      </xdr:txBody>
    </xdr:sp>
    <xdr:clientData/>
  </xdr:twoCellAnchor>
  <xdr:twoCellAnchor>
    <xdr:from>
      <xdr:col>14</xdr:col>
      <xdr:colOff>619745</xdr:colOff>
      <xdr:row>10</xdr:row>
      <xdr:rowOff>34636</xdr:rowOff>
    </xdr:from>
    <xdr:to>
      <xdr:col>21</xdr:col>
      <xdr:colOff>528205</xdr:colOff>
      <xdr:row>14</xdr:row>
      <xdr:rowOff>188025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B90F977-D8D8-428E-892F-8C2589DAC321}"/>
            </a:ext>
          </a:extLst>
        </xdr:cNvPr>
        <xdr:cNvSpPr txBox="1"/>
      </xdr:nvSpPr>
      <xdr:spPr>
        <a:xfrm>
          <a:off x="14318427" y="2112818"/>
          <a:ext cx="6402778" cy="984662"/>
        </a:xfrm>
        <a:prstGeom prst="rect">
          <a:avLst/>
        </a:prstGeom>
        <a:solidFill>
          <a:schemeClr val="accent3"/>
        </a:solidFill>
        <a:ln w="9525" cmpd="sng">
          <a:solidFill>
            <a:schemeClr val="bg1">
              <a:lumMod val="85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threePt" dir="t"/>
          </a:scene3d>
          <a:sp3d contourW="12700">
            <a:contourClr>
              <a:schemeClr val="accent1"/>
            </a:contourClr>
          </a:sp3d>
        </a:bodyPr>
        <a:lstStyle/>
        <a:p>
          <a:pPr algn="ctr"/>
          <a:r>
            <a:rPr lang="en-US" sz="4400" b="1">
              <a:ln>
                <a:noFill/>
              </a:ln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  <a:latin typeface="Mangal Pro" panose="00000500000000000000" pitchFamily="2" charset="0"/>
              <a:cs typeface="Mangal Pro" panose="00000500000000000000" pitchFamily="2" charset="0"/>
            </a:rPr>
            <a:t>2025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103909</xdr:colOff>
      <xdr:row>0</xdr:row>
      <xdr:rowOff>155863</xdr:rowOff>
    </xdr:from>
    <xdr:to>
      <xdr:col>23</xdr:col>
      <xdr:colOff>0</xdr:colOff>
      <xdr:row>9</xdr:row>
      <xdr:rowOff>51954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1583476-B504-4640-95D8-639CC1659F13}"/>
            </a:ext>
          </a:extLst>
        </xdr:cNvPr>
        <xdr:cNvSpPr txBox="1"/>
      </xdr:nvSpPr>
      <xdr:spPr>
        <a:xfrm>
          <a:off x="1316182" y="155863"/>
          <a:ext cx="23378308" cy="1610591"/>
        </a:xfrm>
        <a:prstGeom prst="rect">
          <a:avLst/>
        </a:prstGeom>
        <a:solidFill>
          <a:schemeClr val="bg1"/>
        </a:solidFill>
        <a:ln w="9525" cmpd="sng">
          <a:solidFill>
            <a:schemeClr val="bg1">
              <a:lumMod val="85000"/>
            </a:schemeClr>
          </a:solidFill>
        </a:ln>
        <a:effectLst>
          <a:outerShdw blurRad="50800" dist="50800" dir="5400000" sx="102000" sy="102000" algn="ctr" rotWithShape="0">
            <a:schemeClr val="tx1">
              <a:lumMod val="50000"/>
              <a:lumOff val="50000"/>
              <a:alpha val="50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800" b="1">
              <a:solidFill>
                <a:srgbClr val="002060"/>
              </a:solidFill>
              <a:effectLst>
                <a:innerShdw blurRad="114300">
                  <a:prstClr val="black"/>
                </a:innerShdw>
              </a:effectLst>
              <a:latin typeface="Mangal Pro" panose="00000500000000000000" pitchFamily="2" charset="0"/>
              <a:cs typeface="Mangal Pro" panose="00000500000000000000" pitchFamily="2" charset="0"/>
            </a:rPr>
            <a:t>Network Utilization By County and Transportation Mode </a:t>
          </a:r>
        </a:p>
        <a:p>
          <a:pPr algn="ctr"/>
          <a:r>
            <a:rPr lang="en-US" sz="2800" b="1">
              <a:solidFill>
                <a:srgbClr val="002060"/>
              </a:solidFill>
              <a:effectLst>
                <a:innerShdw blurRad="114300">
                  <a:prstClr val="black"/>
                </a:innerShdw>
              </a:effectLst>
              <a:latin typeface="Mangal Pro" panose="00000500000000000000" pitchFamily="2" charset="0"/>
              <a:cs typeface="Mangal Pro" panose="00000500000000000000" pitchFamily="2" charset="0"/>
            </a:rPr>
            <a:t>Out-of-State </a:t>
          </a:r>
        </a:p>
      </xdr:txBody>
    </xdr:sp>
    <xdr:clientData/>
  </xdr:twoCellAnchor>
  <xdr:twoCellAnchor>
    <xdr:from>
      <xdr:col>1</xdr:col>
      <xdr:colOff>1870363</xdr:colOff>
      <xdr:row>12</xdr:row>
      <xdr:rowOff>27059</xdr:rowOff>
    </xdr:from>
    <xdr:to>
      <xdr:col>9</xdr:col>
      <xdr:colOff>220188</xdr:colOff>
      <xdr:row>16</xdr:row>
      <xdr:rowOff>148286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CE2F0BE-B664-4A23-BC9E-2A77050BDD5A}"/>
            </a:ext>
          </a:extLst>
        </xdr:cNvPr>
        <xdr:cNvSpPr txBox="1"/>
      </xdr:nvSpPr>
      <xdr:spPr>
        <a:xfrm>
          <a:off x="3082636" y="2313059"/>
          <a:ext cx="6575961" cy="883227"/>
        </a:xfrm>
        <a:prstGeom prst="rect">
          <a:avLst/>
        </a:prstGeom>
        <a:solidFill>
          <a:srgbClr val="006666"/>
        </a:solidFill>
        <a:ln w="9525" cmpd="sng">
          <a:solidFill>
            <a:schemeClr val="bg1">
              <a:lumMod val="85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threePt" dir="t"/>
          </a:scene3d>
          <a:sp3d contourW="12700">
            <a:contourClr>
              <a:schemeClr val="accent1"/>
            </a:contourClr>
          </a:sp3d>
        </a:bodyPr>
        <a:lstStyle/>
        <a:p>
          <a:pPr algn="ctr"/>
          <a:r>
            <a:rPr lang="en-US" sz="4400" b="1">
              <a:ln>
                <a:noFill/>
              </a:ln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  <a:latin typeface="Mangal Pro" panose="00000500000000000000" pitchFamily="2" charset="0"/>
              <a:cs typeface="Mangal Pro" panose="00000500000000000000" pitchFamily="2" charset="0"/>
            </a:rPr>
            <a:t>2024</a:t>
          </a:r>
        </a:p>
      </xdr:txBody>
    </xdr:sp>
    <xdr:clientData/>
  </xdr:twoCellAnchor>
  <xdr:twoCellAnchor>
    <xdr:from>
      <xdr:col>12</xdr:col>
      <xdr:colOff>1786247</xdr:colOff>
      <xdr:row>12</xdr:row>
      <xdr:rowOff>17318</xdr:rowOff>
    </xdr:from>
    <xdr:to>
      <xdr:col>20</xdr:col>
      <xdr:colOff>123702</xdr:colOff>
      <xdr:row>16</xdr:row>
      <xdr:rowOff>138545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F8BC586-B79E-4DF2-A73B-F211434F3CC2}"/>
            </a:ext>
          </a:extLst>
        </xdr:cNvPr>
        <xdr:cNvSpPr txBox="1"/>
      </xdr:nvSpPr>
      <xdr:spPr>
        <a:xfrm>
          <a:off x="14307292" y="2303318"/>
          <a:ext cx="6494319" cy="883227"/>
        </a:xfrm>
        <a:prstGeom prst="rect">
          <a:avLst/>
        </a:prstGeom>
        <a:solidFill>
          <a:srgbClr val="666699"/>
        </a:solidFill>
        <a:ln w="9525" cmpd="sng">
          <a:solidFill>
            <a:schemeClr val="bg1">
              <a:lumMod val="85000"/>
            </a:schemeClr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threePt" dir="t"/>
          </a:scene3d>
          <a:sp3d contourW="12700">
            <a:contourClr>
              <a:schemeClr val="accent1"/>
            </a:contourClr>
          </a:sp3d>
        </a:bodyPr>
        <a:lstStyle/>
        <a:p>
          <a:pPr algn="ctr"/>
          <a:r>
            <a:rPr lang="en-US" sz="4400" b="1">
              <a:ln>
                <a:noFill/>
              </a:ln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  <a:latin typeface="Mangal Pro" panose="00000500000000000000" pitchFamily="2" charset="0"/>
              <a:cs typeface="Mangal Pro" panose="00000500000000000000" pitchFamily="2" charset="0"/>
            </a:rPr>
            <a:t>2025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F3E6BE-EF51-43CE-B546-363FBE0A0151}" name="Table6" displayName="Table6" ref="B20:K37" totalsRowCount="1" headerRowDxfId="1254" dataDxfId="1253" totalsRowDxfId="1252">
  <autoFilter ref="B20:K36" xr:uid="{76F3E6BE-EF51-43CE-B546-363FBE0A015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21:K36">
    <sortCondition ref="C20:C35"/>
  </sortState>
  <tableColumns count="10">
    <tableColumn id="1" xr3:uid="{E4E555C8-9CAA-4FC6-A457-61F02843874F}" name="Pick Up County" totalsRowLabel="Total" dataDxfId="1251" totalsRowDxfId="1250"/>
    <tableColumn id="2" xr3:uid="{1786180F-D1BA-432E-B884-BD310974B1E8}" name="Region" dataDxfId="1249" totalsRowDxfId="1248"/>
    <tableColumn id="3" xr3:uid="{993EDEF9-AFDC-41D7-8AF0-EAE81A69D69B}" name="Bus " totalsRowFunction="sum" dataDxfId="1247" totalsRowDxfId="1246"/>
    <tableColumn id="4" xr3:uid="{78E9AEB1-B4C8-4D00-826C-271F146D5594}" name="Cab" totalsRowFunction="sum" dataDxfId="1245" totalsRowDxfId="1244"/>
    <tableColumn id="5" xr3:uid="{88BBA3F7-7F44-4226-983D-11FD711F933E}" name="GMR" totalsRowFunction="sum" dataDxfId="1243" totalsRowDxfId="1242"/>
    <tableColumn id="6" xr3:uid="{80047F0C-D819-4EA1-B0CD-6BC97DCB748C}" name="Public Entity" totalsRowFunction="sum" dataDxfId="1241" totalsRowDxfId="1240"/>
    <tableColumn id="7" xr3:uid="{8089427B-B017-4A26-A2FE-6764CBD6E50B}" name="Stretcher" totalsRowFunction="sum" dataDxfId="1239" totalsRowDxfId="1238"/>
    <tableColumn id="8" xr3:uid="{D925104A-1614-4D1D-9C91-D0F4E99E693B}" name="TNC Vendor" totalsRowFunction="sum" dataDxfId="1237" totalsRowDxfId="1236"/>
    <tableColumn id="9" xr3:uid="{F545E42B-EBB0-4DE3-87A6-765108A76B19}" name="Wheelchair" totalsRowFunction="sum" dataDxfId="1235" totalsRowDxfId="1234"/>
    <tableColumn id="10" xr3:uid="{FEE0EC24-25A5-4F22-A480-DC1BF3BAF77B}" name="Total" totalsRowFunction="sum" dataDxfId="1233" totalsRowDxfId="1232">
      <calculatedColumnFormula>SUM(Table6[[#This Row],[Bus ]:[Wheelchair]])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E601A8-3DDB-47E5-912C-4986AD25C528}" name="Table7" displayName="Table7" ref="N20:W37" totalsRowCount="1" headerRowDxfId="1231" dataDxfId="1230" totalsRowDxfId="1229">
  <autoFilter ref="N20:W36" xr:uid="{D3E601A8-3DDB-47E5-912C-4986AD25C52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21:W36">
    <sortCondition ref="O20:O35"/>
  </sortState>
  <tableColumns count="10">
    <tableColumn id="1" xr3:uid="{38850FC0-000D-47FB-BA5E-38371CA6B307}" name="Pick Up County" totalsRowLabel="Total" dataDxfId="1228" totalsRowDxfId="1227"/>
    <tableColumn id="2" xr3:uid="{F3F5C5C7-387A-464F-918D-1989518CD589}" name="Region" dataDxfId="1226" totalsRowDxfId="1225"/>
    <tableColumn id="3" xr3:uid="{9684E3FF-11B0-4156-9564-B21AFAC537F4}" name="Bus " totalsRowFunction="sum" dataDxfId="1224" totalsRowDxfId="1223"/>
    <tableColumn id="4" xr3:uid="{76BBC35E-92CD-40CF-9279-D985B03C9AE7}" name="Cab" totalsRowFunction="sum" dataDxfId="1222" totalsRowDxfId="1221"/>
    <tableColumn id="5" xr3:uid="{8822895C-4A46-4623-89F4-C9F3DAE363F1}" name="GMR" totalsRowFunction="sum" dataDxfId="1220" totalsRowDxfId="1219"/>
    <tableColumn id="6" xr3:uid="{A4B9814F-B902-4D08-9139-7A7E2F7B4A64}" name="Public Entity" totalsRowFunction="sum" dataDxfId="1218" totalsRowDxfId="1217"/>
    <tableColumn id="7" xr3:uid="{EBAD1262-C0CC-41D5-B959-FCA54EA70A9D}" name="Stretcher" totalsRowFunction="sum" dataDxfId="1216" totalsRowDxfId="1215"/>
    <tableColumn id="8" xr3:uid="{518ED425-00FC-410C-837F-18CE1C28E665}" name="TNC Vendor" totalsRowFunction="sum" dataDxfId="1214" totalsRowDxfId="1213"/>
    <tableColumn id="9" xr3:uid="{65DAEF13-8667-4842-B8FE-C4AC27685217}" name="Wheelchair" totalsRowFunction="sum" dataDxfId="1212" totalsRowDxfId="1211"/>
    <tableColumn id="10" xr3:uid="{445FB113-001F-4F28-BCF7-9F6EB2E2D404}" name="Total" totalsRowFunction="sum" dataDxfId="1210" totalsRowDxfId="1209">
      <calculatedColumnFormula>SUM(Table7[[#This Row],[Bus ]:[Wheelchair]])</calculatedColumnFormula>
    </tableColumn>
  </tableColumns>
  <tableStyleInfo name="TableStyleMedium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7DAD0B4-5703-4933-8325-9302194C52C6}" name="Table67" displayName="Table67" ref="B42:K59" totalsRowCount="1" headerRowDxfId="1208" dataDxfId="1207" totalsRowDxfId="1206">
  <autoFilter ref="B42:K58" xr:uid="{B7DAD0B4-5703-4933-8325-9302194C52C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43:K58">
    <sortCondition ref="C20:C35"/>
  </sortState>
  <tableColumns count="10">
    <tableColumn id="1" xr3:uid="{99C13709-1CB1-45E0-8B4C-3A7B9700DD94}" name="Pick Up County" totalsRowLabel="Total" dataDxfId="1205" totalsRowDxfId="1204"/>
    <tableColumn id="2" xr3:uid="{DAEBC658-389C-4C8B-A468-6350D94388E9}" name="Region" dataDxfId="1203" totalsRowDxfId="1202"/>
    <tableColumn id="3" xr3:uid="{11DDCCE4-9F2A-452A-8F19-95D2FA967628}" name="Bus " totalsRowFunction="sum" dataDxfId="1201" totalsRowDxfId="1200"/>
    <tableColumn id="4" xr3:uid="{F2760199-8274-44F5-92C5-96CEE700E4F2}" name="Cab" totalsRowFunction="sum" dataDxfId="1199" totalsRowDxfId="1198"/>
    <tableColumn id="5" xr3:uid="{2D9134F5-3873-487D-AA9E-1CD5948C5B71}" name="GMR" totalsRowFunction="sum" dataDxfId="1197" totalsRowDxfId="1196"/>
    <tableColumn id="6" xr3:uid="{035AB944-60DA-4129-8FF3-87945EB571F3}" name="Public Entity" totalsRowFunction="sum" dataDxfId="1195" totalsRowDxfId="1194"/>
    <tableColumn id="7" xr3:uid="{1D53128F-B133-4C54-BF99-360603CE2ECB}" name="Stretcher" totalsRowFunction="sum" dataDxfId="1193" totalsRowDxfId="1192"/>
    <tableColumn id="8" xr3:uid="{39BBEF22-A7A6-468B-B706-1A18386846E3}" name="TNC Vendor" totalsRowFunction="sum" dataDxfId="1191" totalsRowDxfId="1190"/>
    <tableColumn id="9" xr3:uid="{AB20F1C7-410A-4905-A246-333FEB1A212F}" name="Wheelchair" totalsRowFunction="sum" dataDxfId="1189" totalsRowDxfId="1188"/>
    <tableColumn id="10" xr3:uid="{09358D36-1A90-4587-8A1A-A1CF271F7B2E}" name="Total" totalsRowFunction="sum" dataDxfId="1187" totalsRowDxfId="1186">
      <calculatedColumnFormula>SUM(Table67[[#This Row],[Bus ]:[Wheelchair]])</calculatedColumnFormula>
    </tableColumn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6DE96E6-ADC3-4CFC-9DDA-48DD85D35E4C}" name="Table78" displayName="Table78" ref="N42:W60" totalsRowCount="1" headerRowDxfId="1185" dataDxfId="1184" totalsRowDxfId="1183">
  <autoFilter ref="N42:W59" xr:uid="{F6DE96E6-ADC3-4CFC-9DDA-48DD85D35E4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43:W58">
    <sortCondition ref="O20:O35"/>
  </sortState>
  <tableColumns count="10">
    <tableColumn id="1" xr3:uid="{AB320504-C5A0-459B-8D64-4945733E6778}" name="Pick Up County" totalsRowLabel="Total" dataDxfId="1182" totalsRowDxfId="1181"/>
    <tableColumn id="2" xr3:uid="{E984E101-0267-4F98-9CCC-DB28D52EBA49}" name="Region" dataDxfId="1180" totalsRowDxfId="1179"/>
    <tableColumn id="3" xr3:uid="{7D535115-F570-416A-88E2-E32B648C78EB}" name="Bus " totalsRowFunction="sum" dataDxfId="1178" totalsRowDxfId="1177"/>
    <tableColumn id="4" xr3:uid="{B2035F15-7DD0-4A9A-AFC5-359ECF5753DA}" name="Cab" totalsRowFunction="sum" dataDxfId="1176" totalsRowDxfId="1175"/>
    <tableColumn id="5" xr3:uid="{A098CBB4-4DA3-4B1B-9331-05D5CF30ED3F}" name="GMR" totalsRowFunction="sum" dataDxfId="1174" totalsRowDxfId="1173"/>
    <tableColumn id="6" xr3:uid="{9C8E2F94-DA0D-47F5-BA7F-934A2FB9905C}" name="Public Entity" totalsRowFunction="sum" dataDxfId="1172" totalsRowDxfId="1171"/>
    <tableColumn id="7" xr3:uid="{DDBAF9F4-643C-48AE-B7E9-F6EB03883DD9}" name="Stretcher" totalsRowFunction="sum" dataDxfId="1170" totalsRowDxfId="1169"/>
    <tableColumn id="8" xr3:uid="{95001B3A-AD44-415A-B0A2-B23FFAEB8314}" name="TNC Vendor" totalsRowFunction="sum" dataDxfId="1168" totalsRowDxfId="1167"/>
    <tableColumn id="9" xr3:uid="{691F93EC-9F7A-44A1-AF74-F21EA1BA7355}" name="Wheelchair" totalsRowFunction="sum" dataDxfId="1166" totalsRowDxfId="1165"/>
    <tableColumn id="10" xr3:uid="{0587D7C7-2497-4255-AA52-8CD0E8AB60BD}" name="Total" totalsRowFunction="sum" dataDxfId="1164" totalsRowDxfId="1163">
      <calculatedColumnFormula>SUM(Table78[[#This Row],[Bus ]:[Wheelchair]])</calculatedColumnFormula>
    </tableColumn>
  </tableColumns>
  <tableStyleInfo name="TableStyleMedium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EF7CCC8-2DF2-444E-B0E6-838066438FA6}" name="Table6710" displayName="Table6710" ref="B65:K84" totalsRowCount="1" headerRowDxfId="1162" dataDxfId="1161" totalsRowDxfId="1160">
  <autoFilter ref="B65:K83" xr:uid="{9EF7CCC8-2DF2-444E-B0E6-838066438FA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66:K81">
    <sortCondition ref="C20:C35"/>
  </sortState>
  <tableColumns count="10">
    <tableColumn id="1" xr3:uid="{D08B3DCA-D5EC-429C-A130-D1D09BDD67B0}" name="Pick Up County" totalsRowLabel="Total" dataDxfId="1159" totalsRowDxfId="1158"/>
    <tableColumn id="2" xr3:uid="{64634F4C-A481-4367-9013-FBE373353A55}" name="Region" dataDxfId="1157" totalsRowDxfId="1156"/>
    <tableColumn id="3" xr3:uid="{C696C1D4-8C32-4F8D-8745-993D29E8F8AD}" name="Bus " totalsRowFunction="sum" dataDxfId="1155" totalsRowDxfId="1154"/>
    <tableColumn id="4" xr3:uid="{5F446AE5-9581-45B2-B0C0-A58E523CC9D4}" name="Cab" totalsRowFunction="sum" dataDxfId="1153" totalsRowDxfId="1152"/>
    <tableColumn id="5" xr3:uid="{076F0779-0F12-402E-AA55-C23431F17E96}" name="GMR" totalsRowFunction="sum" dataDxfId="1151" totalsRowDxfId="1150"/>
    <tableColumn id="6" xr3:uid="{5C16966D-7128-4EFA-80C1-119D66B3103B}" name="Public Entity" totalsRowFunction="sum" dataDxfId="1149" totalsRowDxfId="1148"/>
    <tableColumn id="7" xr3:uid="{B8AD897F-9065-4886-8B86-F52B2AFDA2B6}" name="Stretcher" totalsRowFunction="sum" dataDxfId="1147" totalsRowDxfId="1146"/>
    <tableColumn id="8" xr3:uid="{586521AC-6B4D-438D-BB61-5B0290294C85}" name="TNC Vendor" totalsRowFunction="sum" dataDxfId="1145" totalsRowDxfId="1144"/>
    <tableColumn id="9" xr3:uid="{7D7C0085-F0BC-4A4C-BBE3-11AFC8D3F1ED}" name="Wheelchair" totalsRowFunction="sum" dataDxfId="1143" totalsRowDxfId="1142"/>
    <tableColumn id="10" xr3:uid="{4C489C8A-7947-4D78-9DFE-69A3609E01C1}" name="Total" totalsRowFunction="sum" dataDxfId="1141" totalsRowDxfId="1140">
      <calculatedColumnFormula>SUM(Table6710[[#This Row],[Bus ]:[Wheelchair]])</calculatedColumnFormula>
    </tableColumn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805EACD-4B0B-4939-A562-B978B4EC60A0}" name="Table7811" displayName="Table7811" ref="N65:W83" totalsRowCount="1" headerRowDxfId="1139" dataDxfId="1138" totalsRowDxfId="1137">
  <autoFilter ref="N65:W82" xr:uid="{5805EACD-4B0B-4939-A562-B978B4EC60A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66:W81">
    <sortCondition ref="O20:O35"/>
  </sortState>
  <tableColumns count="10">
    <tableColumn id="1" xr3:uid="{AED903AC-C054-41A1-8EC9-455FF0E43385}" name="Pick Up County" totalsRowLabel="Total" dataDxfId="1136" totalsRowDxfId="1135"/>
    <tableColumn id="2" xr3:uid="{5115F04A-F68D-4422-ACEB-0B4967E678A5}" name="Region" dataDxfId="1134" totalsRowDxfId="1133"/>
    <tableColumn id="3" xr3:uid="{E492364C-AD14-48DD-A8A9-9D1202F59BE6}" name="Bus " totalsRowFunction="sum" dataDxfId="1132" totalsRowDxfId="1131"/>
    <tableColumn id="4" xr3:uid="{F1C12CDB-D520-4F0E-B9E4-FCE3EA92E3DC}" name="Cab" totalsRowFunction="sum" dataDxfId="1130" totalsRowDxfId="1129"/>
    <tableColumn id="5" xr3:uid="{34F9FD4C-A5D8-48CE-B765-405C9107425C}" name="GMR" totalsRowFunction="sum" dataDxfId="1128" totalsRowDxfId="1127"/>
    <tableColumn id="6" xr3:uid="{0FFEDFBC-515B-4338-B41D-F298EF3934D0}" name="Public Entity" totalsRowFunction="sum" dataDxfId="1126" totalsRowDxfId="1125"/>
    <tableColumn id="7" xr3:uid="{AC730778-3D88-4033-BA06-78A077BDBBEE}" name="Stretcher" totalsRowFunction="sum" dataDxfId="1124" totalsRowDxfId="1123"/>
    <tableColumn id="8" xr3:uid="{ADC6B332-1535-4F3B-B55E-FC89AA2534A6}" name="TNC Vendor" totalsRowFunction="sum" dataDxfId="1122" totalsRowDxfId="1121"/>
    <tableColumn id="9" xr3:uid="{CF2A4A3C-666B-4F0B-A0D6-A0B9096ACE38}" name="Wheelchair" totalsRowFunction="sum" dataDxfId="1120" totalsRowDxfId="1119"/>
    <tableColumn id="10" xr3:uid="{2D731A24-62E0-4A45-AA7A-7FC52A840952}" name="Total" totalsRowFunction="sum" dataDxfId="1118" totalsRowDxfId="1117">
      <calculatedColumnFormula>SUM(Table7811[[#This Row],[Bus ]:[Wheelchair]])</calculatedColumnFormula>
    </tableColumn>
  </tableColumns>
  <tableStyleInfo name="TableStyleMedium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C81EDED-15FC-4639-9B47-86CD7A6CBFF9}" name="Table671016" displayName="Table671016" ref="B90:K107" totalsRowCount="1" headerRowDxfId="1116" dataDxfId="1115" totalsRowDxfId="1114">
  <autoFilter ref="B90:K106" xr:uid="{EC81EDED-15FC-4639-9B47-86CD7A6CBFF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91:K106">
    <sortCondition ref="C20:C35"/>
  </sortState>
  <tableColumns count="10">
    <tableColumn id="1" xr3:uid="{99DE0F30-CAAF-448C-9914-315B814BE703}" name="Pick Up County" totalsRowLabel="Total" dataDxfId="1113" totalsRowDxfId="1112"/>
    <tableColumn id="2" xr3:uid="{ED457D40-ED2C-4DDA-850C-3DFA1D4B03A1}" name="Region" dataDxfId="1111" totalsRowDxfId="1110"/>
    <tableColumn id="3" xr3:uid="{46EE202F-EBD3-4DF7-8E7A-B605B630A384}" name="Bus " totalsRowFunction="sum" dataDxfId="1109" totalsRowDxfId="1108"/>
    <tableColumn id="4" xr3:uid="{29B9E150-47FC-4157-B07D-72F9484B43A3}" name="Cab" totalsRowFunction="sum" dataDxfId="1107" totalsRowDxfId="1106"/>
    <tableColumn id="5" xr3:uid="{8F678D5E-9DD9-4659-B879-5B1B79F82969}" name="GMR" totalsRowFunction="sum" dataDxfId="1105" totalsRowDxfId="1104"/>
    <tableColumn id="6" xr3:uid="{A65CF21C-4E51-4ED3-9C14-0F243202BFC3}" name="Public Entity" totalsRowFunction="sum" dataDxfId="1103" totalsRowDxfId="1102"/>
    <tableColumn id="7" xr3:uid="{4EC91F8F-82E2-4829-8C14-AF5624FA5D17}" name="Stretcher" totalsRowFunction="sum" dataDxfId="1101" totalsRowDxfId="1100"/>
    <tableColumn id="8" xr3:uid="{E50C2DED-2AF1-4CFF-AD97-AE19EDD40A5E}" name="TNC Vendor" totalsRowFunction="sum" dataDxfId="1099" totalsRowDxfId="1098"/>
    <tableColumn id="9" xr3:uid="{D2352369-288B-4EEE-941F-7BF82CB9206F}" name="Wheelchair" totalsRowFunction="sum" dataDxfId="1097" totalsRowDxfId="1096"/>
    <tableColumn id="10" xr3:uid="{CC443277-E2C5-4C62-80B5-F38FD4AC95B4}" name="Total" totalsRowFunction="sum" dataDxfId="1095" totalsRowDxfId="1094">
      <calculatedColumnFormula>SUM(Table671016[[#This Row],[Bus ]:[Wheelchair]])</calculatedColumnFormula>
    </tableColumn>
  </tableColumns>
  <tableStyleInfo name="TableStyleMedium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5C529D4-756E-45E6-9C7B-25DF057E84E1}" name="Table781117" displayName="Table781117" ref="N90:W108" totalsRowCount="1" headerRowDxfId="1093" dataDxfId="1092" totalsRowDxfId="1091">
  <autoFilter ref="N90:W107" xr:uid="{65C529D4-756E-45E6-9C7B-25DF057E84E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91:W106">
    <sortCondition ref="O20:O35"/>
  </sortState>
  <tableColumns count="10">
    <tableColumn id="1" xr3:uid="{2D8ACB4D-2D70-4AB8-9CDC-1AE68CEC9032}" name="Pick Up County" totalsRowLabel="Total" dataDxfId="1090" totalsRowDxfId="1089"/>
    <tableColumn id="2" xr3:uid="{209FF854-90B1-467C-9744-65B2F04CF7A1}" name="Region" dataDxfId="1088" totalsRowDxfId="1087"/>
    <tableColumn id="3" xr3:uid="{08E60755-C6DB-4904-8E40-19B1C4A293F7}" name="Bus " totalsRowFunction="sum" dataDxfId="1086" totalsRowDxfId="1085"/>
    <tableColumn id="4" xr3:uid="{26B8EF30-3198-4CA3-A3EA-71F3587E1791}" name="Cab" totalsRowFunction="sum" dataDxfId="1084" totalsRowDxfId="1083"/>
    <tableColumn id="5" xr3:uid="{59D58513-DA13-46C4-8B33-5219893150A2}" name="GMR" totalsRowFunction="sum" dataDxfId="1082" totalsRowDxfId="1081"/>
    <tableColumn id="6" xr3:uid="{8A5E749D-041D-4795-86B1-B1222D2E56C2}" name="Public Entity" totalsRowFunction="sum" dataDxfId="1080" totalsRowDxfId="1079"/>
    <tableColumn id="7" xr3:uid="{2ABC37DB-A474-4638-AFDD-2869848B5DA1}" name="Stretcher" totalsRowFunction="sum" dataDxfId="1078" totalsRowDxfId="1077"/>
    <tableColumn id="8" xr3:uid="{9CDC46DD-9DDB-43A7-9DF8-217B0733D0B6}" name="TNC Vendor" totalsRowFunction="sum" dataDxfId="1076" totalsRowDxfId="1075"/>
    <tableColumn id="9" xr3:uid="{7B79D8C1-CB6B-467B-9D48-5724F50D54CE}" name="Wheelchair" totalsRowFunction="sum" dataDxfId="1074" totalsRowDxfId="1073"/>
    <tableColumn id="10" xr3:uid="{D598C450-A190-44AE-9CAC-EE6457FA84A1}" name="Total" totalsRowFunction="sum" dataDxfId="1072" totalsRowDxfId="1071">
      <calculatedColumnFormula>SUM(Table781117[[#This Row],[Bus ]:[Wheelchair]])</calculatedColumnFormula>
    </tableColumn>
  </tableColumns>
  <tableStyleInfo name="TableStyleMedium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8FCD872-161B-424C-ACB5-07D8DA532C94}" name="Table67101622" displayName="Table67101622" ref="B113:K132" totalsRowCount="1" headerRowDxfId="1070" dataDxfId="1069" totalsRowDxfId="1068">
  <autoFilter ref="B113:K131" xr:uid="{28FCD872-161B-424C-ACB5-07D8DA532C9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114:K129">
    <sortCondition ref="C20:C35"/>
  </sortState>
  <tableColumns count="10">
    <tableColumn id="1" xr3:uid="{2819A1AE-4115-482C-9E89-14560EE1D3D1}" name="Pick Up County" totalsRowLabel="Total" dataDxfId="1067" totalsRowDxfId="1066"/>
    <tableColumn id="2" xr3:uid="{7B54DBE9-A1B4-4A0E-92B1-D6BB5F9681F2}" name="Region" dataDxfId="1065" totalsRowDxfId="1064"/>
    <tableColumn id="3" xr3:uid="{5EF087E0-38A4-4F5A-9354-5098EF4D334B}" name="Bus " totalsRowFunction="sum" dataDxfId="1063" totalsRowDxfId="1062"/>
    <tableColumn id="4" xr3:uid="{43C365C4-5ED3-4C76-82FD-5E0593FDF97E}" name="Cab" totalsRowFunction="sum" dataDxfId="1061" totalsRowDxfId="1060"/>
    <tableColumn id="5" xr3:uid="{223FA14E-EA30-45F5-B33D-16A34E1EA7F9}" name="GMR" totalsRowFunction="sum" dataDxfId="1059" totalsRowDxfId="1058"/>
    <tableColumn id="6" xr3:uid="{D1464C96-9502-4730-BA27-B08254A5F7B6}" name="Public Entity" totalsRowFunction="sum" dataDxfId="1057" totalsRowDxfId="1056"/>
    <tableColumn id="7" xr3:uid="{D1A41C04-7A41-4DEB-9CA5-C14E4587C283}" name="Stretcher" totalsRowFunction="sum" dataDxfId="1055" totalsRowDxfId="1054"/>
    <tableColumn id="8" xr3:uid="{9CC0C18F-2648-40C6-8472-D0D2844CC2DD}" name="TNC Vendor" totalsRowFunction="sum" dataDxfId="1053" totalsRowDxfId="1052"/>
    <tableColumn id="9" xr3:uid="{88DED14D-79F8-4791-B71E-05853D9299BF}" name="Wheelchair" totalsRowFunction="sum" dataDxfId="1051" totalsRowDxfId="1050"/>
    <tableColumn id="10" xr3:uid="{73ED3F07-1248-4A59-93E2-A45B0E21CEEF}" name="Total" totalsRowFunction="sum" dataDxfId="1049" totalsRowDxfId="1048">
      <calculatedColumnFormula>SUM(Table67101622[[#This Row],[Bus ]:[Wheelchair]])</calculatedColumnFormula>
    </tableColumn>
  </tableColumns>
  <tableStyleInfo name="TableStyleMedium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7339B322-4F05-457E-AEA6-B52BF2490E35}" name="Table78111723" displayName="Table78111723" ref="N113:W130" totalsRowCount="1" headerRowDxfId="1047" dataDxfId="1046" totalsRowDxfId="1045">
  <autoFilter ref="N113:W129" xr:uid="{7339B322-4F05-457E-AEA6-B52BF2490E3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114:W129">
    <sortCondition ref="O20:O35"/>
  </sortState>
  <tableColumns count="10">
    <tableColumn id="1" xr3:uid="{7BD706AE-C012-43A8-A4CC-429AC97FCCBA}" name="Pick Up County" totalsRowLabel="Total" dataDxfId="1044" totalsRowDxfId="1043"/>
    <tableColumn id="2" xr3:uid="{1B2F22F0-B619-4C15-A7FC-FBB698EE3B78}" name="Region" dataDxfId="1042" totalsRowDxfId="1041"/>
    <tableColumn id="3" xr3:uid="{0EFB0248-B99A-4990-BB68-1B5BED0F964F}" name="Bus " totalsRowFunction="sum" dataDxfId="1040" totalsRowDxfId="1039"/>
    <tableColumn id="4" xr3:uid="{46B55929-41F7-4838-8643-127BD601452A}" name="Cab" totalsRowFunction="sum" dataDxfId="1038" totalsRowDxfId="1037"/>
    <tableColumn id="5" xr3:uid="{A7A3B384-8297-499C-BFA0-DB92AC9C7118}" name="GMR" totalsRowFunction="sum" dataDxfId="1036" totalsRowDxfId="1035"/>
    <tableColumn id="6" xr3:uid="{AB830227-A7A3-4B56-95AE-2FCBCE24B1ED}" name="Public Entity" totalsRowFunction="sum" dataDxfId="1034" totalsRowDxfId="1033"/>
    <tableColumn id="7" xr3:uid="{A8149FDB-DBC3-4056-96BC-9CCCCC9E3A6D}" name="Stretcher" totalsRowFunction="sum" dataDxfId="1032" totalsRowDxfId="1031"/>
    <tableColumn id="8" xr3:uid="{208879E0-D419-4B9B-9DEB-BCFE7E8E284F}" name="TNC Vendor" totalsRowFunction="sum" dataDxfId="1030" totalsRowDxfId="1029"/>
    <tableColumn id="9" xr3:uid="{EF256187-D191-409A-B5BD-15E6403E1F87}" name="Wheelchair" totalsRowFunction="sum" dataDxfId="1028" totalsRowDxfId="1027"/>
    <tableColumn id="10" xr3:uid="{C2E74081-5963-4CF1-AE25-21A8E474F48E}" name="Total" totalsRowFunction="sum" dataDxfId="1026" totalsRowDxfId="1025">
      <calculatedColumnFormula>SUM(Table78111723[[#This Row],[Bus ]:[Wheelchair]])</calculatedColumnFormula>
    </tableColumn>
  </tableColumns>
  <tableStyleInfo name="TableStyleMedium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63F306EF-A36B-4976-8020-207317B1D1CE}" name="Table6710162228" displayName="Table6710162228" ref="B137:K155" totalsRowCount="1" headerRowDxfId="1024" dataDxfId="1023" totalsRowDxfId="1022">
  <autoFilter ref="B137:K154" xr:uid="{63F306EF-A36B-4976-8020-207317B1D1C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138:K153">
    <sortCondition ref="C20:C35"/>
  </sortState>
  <tableColumns count="10">
    <tableColumn id="1" xr3:uid="{EF4F6FCD-A3E3-485A-95FE-74C62D8FD621}" name="Pick Up County" totalsRowLabel="Total" dataDxfId="1021" totalsRowDxfId="1020"/>
    <tableColumn id="2" xr3:uid="{2AA8E322-BBDC-4650-B266-13393E783576}" name="Region" dataDxfId="1019" totalsRowDxfId="1018"/>
    <tableColumn id="3" xr3:uid="{24FB9AF8-B76C-45EA-B17B-AAC5092EF6D1}" name="Bus " totalsRowFunction="sum" dataDxfId="1017" totalsRowDxfId="1016"/>
    <tableColumn id="4" xr3:uid="{47A6FC38-77F8-47CC-B333-0FE402864DDE}" name="Cab" totalsRowFunction="sum" dataDxfId="1015" totalsRowDxfId="1014"/>
    <tableColumn id="5" xr3:uid="{83B90CA8-351F-4635-9BB6-7ABC8E903238}" name="GMR" totalsRowFunction="sum" dataDxfId="1013" totalsRowDxfId="1012"/>
    <tableColumn id="6" xr3:uid="{826A5602-4CD2-4A9C-B6FF-D03F8165B728}" name="Public Entity" totalsRowFunction="sum" dataDxfId="1011" totalsRowDxfId="1010"/>
    <tableColumn id="7" xr3:uid="{7BA72AFE-C44A-4113-A611-C5D1C42B5E4F}" name="Stretcher" totalsRowFunction="sum" dataDxfId="1009" totalsRowDxfId="1008"/>
    <tableColumn id="8" xr3:uid="{A7A60B15-C3A9-454D-8A74-02BFCC94BD36}" name="TNC Vendor" totalsRowFunction="sum" dataDxfId="1007" totalsRowDxfId="1006"/>
    <tableColumn id="9" xr3:uid="{A5AFE716-F41E-4EB6-BB3A-966E3036161C}" name="Wheelchair" totalsRowFunction="sum" dataDxfId="1005" totalsRowDxfId="1004"/>
    <tableColumn id="10" xr3:uid="{DE306AE1-AC28-4A70-8C07-302CAD7118C2}" name="Total" totalsRowFunction="sum" dataDxfId="1003" totalsRowDxfId="1002">
      <calculatedColumnFormula>SUM(Table6710162228[[#This Row],[Bus ]:[Wheelchair]])</calculatedColumnFormula>
    </tableColumn>
  </tableColumns>
  <tableStyleInfo name="TableStyleMedium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C3E798A4-4DB9-477C-8301-A33208801028}" name="Table7811172329" displayName="Table7811172329" ref="N137:W153" totalsRowCount="1" headerRowDxfId="1001" dataDxfId="1000" totalsRowDxfId="999">
  <autoFilter ref="N137:W152" xr:uid="{C3E798A4-4DB9-477C-8301-A3320880102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138:W152">
    <sortCondition ref="O20:O35"/>
  </sortState>
  <tableColumns count="10">
    <tableColumn id="1" xr3:uid="{D3E0C375-F3D1-4757-8F76-E6C8558977AE}" name="Pick Up County" totalsRowLabel="Total" dataDxfId="998" totalsRowDxfId="997"/>
    <tableColumn id="2" xr3:uid="{D35DD5A0-3039-464C-8172-F1056A38234B}" name="Region" dataDxfId="996" totalsRowDxfId="995"/>
    <tableColumn id="3" xr3:uid="{3F6DFD01-FE38-4766-8117-02B3D6DCC530}" name="Bus " totalsRowFunction="sum" dataDxfId="994" totalsRowDxfId="993"/>
    <tableColumn id="4" xr3:uid="{66B6AC94-0265-4F41-8FD0-2A6EF4FAEA0D}" name="Cab" totalsRowFunction="sum" dataDxfId="992" totalsRowDxfId="991"/>
    <tableColumn id="5" xr3:uid="{8C4C4603-7C76-46F7-998C-0C17E7BEFB18}" name="GMR" totalsRowFunction="sum" dataDxfId="990" totalsRowDxfId="989"/>
    <tableColumn id="6" xr3:uid="{8FFB3948-9A7A-4D7B-A84E-D81EBEC115B2}" name="Public Entity" totalsRowFunction="sum" dataDxfId="988" totalsRowDxfId="987"/>
    <tableColumn id="7" xr3:uid="{3752C713-35AA-401A-8CB0-B13E74679F61}" name="Stretcher" totalsRowFunction="sum" dataDxfId="986" totalsRowDxfId="985"/>
    <tableColumn id="8" xr3:uid="{21686346-3BAB-4985-9965-16B47012CDE3}" name="TNC Vendor" totalsRowFunction="sum" dataDxfId="984" totalsRowDxfId="983"/>
    <tableColumn id="9" xr3:uid="{DD942254-DBA6-4F6F-BCA8-C1DFEEFEC69F}" name="Wheelchair" totalsRowFunction="sum" dataDxfId="982" totalsRowDxfId="981"/>
    <tableColumn id="10" xr3:uid="{844652A7-3685-4B3C-A976-A4194624EC00}" name="Total" totalsRowFunction="sum" dataDxfId="980" totalsRowDxfId="979">
      <calculatedColumnFormula>SUM(Table7811172329[[#This Row],[Bus ]:[Wheelchair]])</calculatedColumnFormula>
    </tableColumn>
  </tableColumns>
  <tableStyleInfo name="TableStyleMedium1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C4F7A89-2F56-4992-8A11-BCEB4BB84A71}" name="Table671016222834" displayName="Table671016222834" ref="B160:K178" totalsRowCount="1" headerRowDxfId="978" dataDxfId="977" totalsRowDxfId="976">
  <autoFilter ref="B160:K177" xr:uid="{AC4F7A89-2F56-4992-8A11-BCEB4BB84A7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161:K176">
    <sortCondition ref="C20:C35"/>
  </sortState>
  <tableColumns count="10">
    <tableColumn id="1" xr3:uid="{3D7E92C8-2499-44A4-B927-7700C3A8CCFC}" name="Pick Up County" totalsRowLabel="Total" dataDxfId="975" totalsRowDxfId="974"/>
    <tableColumn id="2" xr3:uid="{F6A01562-736F-46DF-B944-64A144590D07}" name="Region" dataDxfId="973" totalsRowDxfId="972"/>
    <tableColumn id="3" xr3:uid="{677241CD-BC2C-4951-864A-5DA8DB2C37FC}" name="Bus " totalsRowFunction="sum" dataDxfId="971" totalsRowDxfId="970"/>
    <tableColumn id="4" xr3:uid="{14FB499A-0F14-4F75-A536-4B3E2FF2B5DC}" name="Cab" totalsRowFunction="sum" dataDxfId="969" totalsRowDxfId="968"/>
    <tableColumn id="5" xr3:uid="{8B3DDD1E-5336-4D38-A295-0AD53B81E6C1}" name="GMR" totalsRowFunction="sum" dataDxfId="967" totalsRowDxfId="966"/>
    <tableColumn id="6" xr3:uid="{BB7205EF-07A0-468A-AD8D-D0895F0504A3}" name="Public Entity" totalsRowFunction="sum" dataDxfId="965" totalsRowDxfId="964"/>
    <tableColumn id="7" xr3:uid="{ADCFDE94-DEC1-49A3-BD89-F53E2283AD0F}" name="Stretcher" totalsRowFunction="sum" dataDxfId="963" totalsRowDxfId="962"/>
    <tableColumn id="8" xr3:uid="{8EA8BD2D-531C-4F36-8A4E-D668E6C0723A}" name="TNC Vendor" totalsRowFunction="sum" dataDxfId="961" totalsRowDxfId="960"/>
    <tableColumn id="9" xr3:uid="{2927702E-9510-47EA-8E23-E6E2B2432D88}" name="Wheelchair" totalsRowFunction="sum" dataDxfId="959" totalsRowDxfId="958"/>
    <tableColumn id="10" xr3:uid="{BEC55C07-84F1-463C-B737-32C2E5E19263}" name="Total" totalsRowFunction="sum" dataDxfId="957" totalsRowDxfId="956">
      <calculatedColumnFormula>SUM(Table671016222834[[#This Row],[Bus ]:[Wheelchair]])</calculatedColumnFormula>
    </tableColumn>
  </tableColumns>
  <tableStyleInfo name="TableStyleMedium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C01E8E0F-A5A5-49EA-9335-E4C7A9CD819C}" name="Table781117232935" displayName="Table781117232935" ref="N160:W176" totalsRowCount="1" headerRowDxfId="955" dataDxfId="954" totalsRowDxfId="953">
  <autoFilter ref="N160:W175" xr:uid="{C01E8E0F-A5A5-49EA-9335-E4C7A9CD819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161:W175">
    <sortCondition ref="O20:O35"/>
  </sortState>
  <tableColumns count="10">
    <tableColumn id="1" xr3:uid="{E762F003-5135-4032-AED8-99D5DD5DC8B4}" name="Pick Up County" totalsRowLabel="Total" dataDxfId="952" totalsRowDxfId="951"/>
    <tableColumn id="2" xr3:uid="{2242E7B3-337D-41D7-B7A0-33712F3057BC}" name="Region" dataDxfId="950" totalsRowDxfId="949"/>
    <tableColumn id="3" xr3:uid="{19EAF4E8-B7BC-4F0B-83B1-B167371B284A}" name="Bus " totalsRowFunction="sum" dataDxfId="948" totalsRowDxfId="947"/>
    <tableColumn id="4" xr3:uid="{EE73F971-C66C-4070-B5EC-15439D14A168}" name="Cab" totalsRowFunction="sum" dataDxfId="946" totalsRowDxfId="945"/>
    <tableColumn id="5" xr3:uid="{5576A519-A857-4A15-BB7C-AAB39667734A}" name="GMR" totalsRowFunction="sum" dataDxfId="944" totalsRowDxfId="943"/>
    <tableColumn id="6" xr3:uid="{50E2A00F-5AA0-44E8-BC25-1877192A0D9F}" name="Public Entity" totalsRowFunction="sum" dataDxfId="942" totalsRowDxfId="941"/>
    <tableColumn id="7" xr3:uid="{CF3CA390-66E0-412A-9661-6591D7DE4FEE}" name="Stretcher" totalsRowFunction="sum" dataDxfId="940" totalsRowDxfId="939"/>
    <tableColumn id="8" xr3:uid="{AA7C0A65-BE17-4080-9C19-22AD11EC4F4D}" name="TNC Vendor" totalsRowFunction="sum" dataDxfId="938" totalsRowDxfId="937"/>
    <tableColumn id="9" xr3:uid="{BC258191-162E-4B33-A9D1-2C55F3979CFF}" name="Wheelchair" totalsRowFunction="sum" dataDxfId="936" totalsRowDxfId="935"/>
    <tableColumn id="10" xr3:uid="{9B8D6ACD-DF71-416A-B4A6-73E9230448A5}" name="Total" totalsRowFunction="sum" dataDxfId="934" totalsRowDxfId="933">
      <calculatedColumnFormula>SUM(Table781117232935[[#This Row],[Bus ]:[Wheelchair]])</calculatedColumnFormula>
    </tableColumn>
  </tableColumns>
  <tableStyleInfo name="TableStyleMedium1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B08AC019-06FC-4A33-9562-A072B60EE1F7}" name="Table67101622283440" displayName="Table67101622283440" ref="B183:K201" totalsRowCount="1" headerRowDxfId="932" dataDxfId="931" totalsRowDxfId="930">
  <autoFilter ref="B183:K200" xr:uid="{B08AC019-06FC-4A33-9562-A072B60EE1F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184:K199">
    <sortCondition ref="C20:C35"/>
  </sortState>
  <tableColumns count="10">
    <tableColumn id="1" xr3:uid="{42F3B5CD-A115-48F6-81F3-371D1F806D7B}" name="Pick Up County" totalsRowLabel="Total" dataDxfId="929" totalsRowDxfId="928"/>
    <tableColumn id="2" xr3:uid="{8DCB5123-7FC9-41D4-A1A2-7A83708B5462}" name="Region" dataDxfId="927" totalsRowDxfId="926"/>
    <tableColumn id="3" xr3:uid="{A1445098-502D-457B-8D97-998683334A4F}" name="Bus " totalsRowFunction="sum" dataDxfId="925" totalsRowDxfId="924"/>
    <tableColumn id="4" xr3:uid="{188F30A5-6427-498E-94AD-F7D8F67413FB}" name="Cab" totalsRowFunction="sum" dataDxfId="923" totalsRowDxfId="922"/>
    <tableColumn id="5" xr3:uid="{5F9E61A6-9DD3-451C-BF69-E4CADF16419F}" name="GMR" totalsRowFunction="sum" dataDxfId="921" totalsRowDxfId="920"/>
    <tableColumn id="6" xr3:uid="{DF981857-435C-46B2-86E0-9A3327CF19FD}" name="Public Entity" totalsRowFunction="sum" dataDxfId="919" totalsRowDxfId="918"/>
    <tableColumn id="7" xr3:uid="{99F079D2-AF06-4A41-B030-9103E8C7A608}" name="Stretcher" totalsRowFunction="sum" dataDxfId="917" totalsRowDxfId="916"/>
    <tableColumn id="8" xr3:uid="{16576464-B6DE-4109-BCF2-B93B0862D732}" name="TNC Vendor" totalsRowFunction="sum" dataDxfId="915" totalsRowDxfId="914"/>
    <tableColumn id="9" xr3:uid="{FB0253A2-5280-4FFB-9506-EF148D106F9F}" name="Wheelchair" totalsRowFunction="sum" dataDxfId="913" totalsRowDxfId="912"/>
    <tableColumn id="10" xr3:uid="{032CC3C3-D8A7-4A99-849F-D9DA3A45F96C}" name="Total" totalsRowFunction="sum" dataDxfId="911" totalsRowDxfId="910">
      <calculatedColumnFormula>SUM(Table67101622283440[[#This Row],[Bus ]:[Wheelchair]])</calculatedColumnFormula>
    </tableColumn>
  </tableColumns>
  <tableStyleInfo name="TableStyleMedium1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52BB66C-E743-4E29-9AF1-12BD5E09CE4F}" name="Table78111723293541" displayName="Table78111723293541" ref="N183:W200" totalsRowCount="1" headerRowDxfId="909" dataDxfId="908" totalsRowDxfId="907">
  <autoFilter ref="N183:W199" xr:uid="{052BB66C-E743-4E29-9AF1-12BD5E09CE4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184:W198">
    <sortCondition ref="O20:O35"/>
  </sortState>
  <tableColumns count="10">
    <tableColumn id="1" xr3:uid="{7C709939-DBFE-4CA1-B01B-7AD8E273861E}" name="Pick Up County" totalsRowLabel="Total" dataDxfId="906" totalsRowDxfId="905"/>
    <tableColumn id="2" xr3:uid="{2175545D-C358-42C3-9275-D2C0D33602F4}" name="Region" dataDxfId="904" totalsRowDxfId="903"/>
    <tableColumn id="3" xr3:uid="{EFC6D8B5-BD3A-4D23-8C0A-AA142756DFE1}" name="Bus " totalsRowFunction="sum" dataDxfId="902" totalsRowDxfId="901"/>
    <tableColumn id="4" xr3:uid="{D1D10B11-77AE-4B2E-A9E4-809D3B42AC57}" name="Cab" totalsRowFunction="sum" dataDxfId="900" totalsRowDxfId="899"/>
    <tableColumn id="5" xr3:uid="{DA3DFCDF-35EB-491B-99E0-34A20699DACE}" name="GMR" totalsRowFunction="sum" dataDxfId="898" totalsRowDxfId="897"/>
    <tableColumn id="6" xr3:uid="{2D5774D4-DF21-4AE1-A280-91E43C0E329D}" name="Public Entity" totalsRowFunction="sum" dataDxfId="896" totalsRowDxfId="895"/>
    <tableColumn id="7" xr3:uid="{67244988-CC91-49FA-8A9F-E7BC631F0BD1}" name="Stretcher" totalsRowFunction="sum" dataDxfId="894" totalsRowDxfId="893"/>
    <tableColumn id="8" xr3:uid="{5D063942-F341-41EE-BED6-61540AED9F0F}" name="TNC Vendor" totalsRowFunction="sum" dataDxfId="892" totalsRowDxfId="891"/>
    <tableColumn id="9" xr3:uid="{A6C9B39E-063D-4245-8E46-7882BAC92C41}" name="Wheelchair" totalsRowFunction="sum" dataDxfId="890" totalsRowDxfId="889"/>
    <tableColumn id="10" xr3:uid="{74E30E9F-9426-4567-9DC8-429C4ED5ABFF}" name="Total" totalsRowFunction="sum" dataDxfId="888" totalsRowDxfId="887">
      <calculatedColumnFormula>SUM(Table78111723293541[[#This Row],[Bus ]:[Wheelchair]])</calculatedColumnFormula>
    </tableColumn>
  </tableColumns>
  <tableStyleInfo name="TableStyleMedium1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12D29143-D0C4-46F5-86F7-02B999A0DF16}" name="Table6710162228344043" displayName="Table6710162228344043" ref="B206:K224" totalsRowCount="1" headerRowDxfId="886" dataDxfId="885" totalsRowDxfId="884">
  <autoFilter ref="B206:K223" xr:uid="{12D29143-D0C4-46F5-86F7-02B999A0DF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207:K222">
    <sortCondition ref="C20:C35"/>
  </sortState>
  <tableColumns count="10">
    <tableColumn id="1" xr3:uid="{43249E61-6243-4CF4-AC72-D7C9A5331DEE}" name="Pick Up County" totalsRowLabel="Total" dataDxfId="883" totalsRowDxfId="882"/>
    <tableColumn id="2" xr3:uid="{6918721D-2F03-4963-9E96-2FA8778202F1}" name="Region" dataDxfId="881" totalsRowDxfId="880"/>
    <tableColumn id="3" xr3:uid="{C004129F-50B0-44C1-8FDE-6D3D65B38649}" name="Bus " totalsRowFunction="sum" dataDxfId="879" totalsRowDxfId="878"/>
    <tableColumn id="4" xr3:uid="{3340125D-511E-43C0-91BD-ECC4B600F392}" name="Cab" totalsRowFunction="sum" dataDxfId="877" totalsRowDxfId="876"/>
    <tableColumn id="5" xr3:uid="{51E878AA-EF9A-4D0C-A917-64717D82F29F}" name="GMR" totalsRowFunction="sum" dataDxfId="875" totalsRowDxfId="874"/>
    <tableColumn id="6" xr3:uid="{1462771B-E936-47D2-A632-960AF59E4538}" name="Public Entity" totalsRowFunction="sum" dataDxfId="873" totalsRowDxfId="872"/>
    <tableColumn id="7" xr3:uid="{4C77768D-716D-4809-B87C-CAECA826FE8C}" name="Stretcher" totalsRowFunction="sum" dataDxfId="871" totalsRowDxfId="870"/>
    <tableColumn id="8" xr3:uid="{AC4E4DBB-1EE3-406F-B291-59585E632BF6}" name="TNC Vendor" totalsRowFunction="sum" dataDxfId="869" totalsRowDxfId="868"/>
    <tableColumn id="9" xr3:uid="{1EBE238C-654B-49B4-9A42-97951A999684}" name="Wheelchair" totalsRowFunction="sum" dataDxfId="867" totalsRowDxfId="866"/>
    <tableColumn id="10" xr3:uid="{4FDBBCAA-738C-4DAB-841E-33A4796046E6}" name="Total" totalsRowFunction="sum" dataDxfId="865" totalsRowDxfId="864">
      <calculatedColumnFormula>SUM(Table6710162228344043[[#This Row],[Bus ]:[Wheelchair]])</calculatedColumnFormula>
    </tableColumn>
  </tableColumns>
  <tableStyleInfo name="TableStyleMedium1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3F080C3C-B967-4266-8600-7D3680695A2C}" name="Table7811172329354144" displayName="Table7811172329354144" ref="N206:W223" totalsRowCount="1" headerRowDxfId="863" dataDxfId="862" totalsRowDxfId="861">
  <autoFilter ref="N206:W222" xr:uid="{3F080C3C-B967-4266-8600-7D3680695A2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207:W221">
    <sortCondition ref="O20:O35"/>
  </sortState>
  <tableColumns count="10">
    <tableColumn id="1" xr3:uid="{A87F89B0-49CF-4E80-ABC8-B1B63ECAA4AD}" name="Pick Up County" totalsRowLabel="Total" dataDxfId="860" totalsRowDxfId="859"/>
    <tableColumn id="2" xr3:uid="{2E506BBC-25F0-4B63-8181-702CC1D7886D}" name="Region" dataDxfId="858" totalsRowDxfId="857"/>
    <tableColumn id="3" xr3:uid="{C2E95150-B0B9-4EA9-A801-FA12EA976DC6}" name="Bus " totalsRowFunction="sum" dataDxfId="856" totalsRowDxfId="855"/>
    <tableColumn id="4" xr3:uid="{752DA9B5-7587-4421-9D4C-08E378E5AB2B}" name="Cab" totalsRowFunction="sum" dataDxfId="854" totalsRowDxfId="853"/>
    <tableColumn id="5" xr3:uid="{CFEC4071-C463-4790-B193-A195A02CEE06}" name="GMR" totalsRowFunction="sum" dataDxfId="852" totalsRowDxfId="851"/>
    <tableColumn id="6" xr3:uid="{EDDD1755-25B9-4E3D-986B-07471E907D0B}" name="Public Entity" totalsRowFunction="sum" dataDxfId="850" totalsRowDxfId="849"/>
    <tableColumn id="7" xr3:uid="{20F03C39-5A29-4B24-B74D-11C891ECFD2B}" name="Stretcher" totalsRowFunction="sum" dataDxfId="848" totalsRowDxfId="847"/>
    <tableColumn id="8" xr3:uid="{5FD7A899-40DE-4139-831E-8F5782792086}" name="TNC Vendor" totalsRowFunction="sum" dataDxfId="846" totalsRowDxfId="845"/>
    <tableColumn id="9" xr3:uid="{8BC07B86-5568-41BF-AF6B-F2067E6C3AE4}" name="Wheelchair" totalsRowFunction="sum" dataDxfId="844" totalsRowDxfId="843"/>
    <tableColumn id="10" xr3:uid="{2B6C64A8-0EE1-4CBB-9850-26F6D41BA086}" name="Total" totalsRowFunction="sum" dataDxfId="842" totalsRowDxfId="841">
      <calculatedColumnFormula>SUM(Table7811172329354144[[#This Row],[Bus ]:[Wheelchair]])</calculatedColumnFormula>
    </tableColumn>
  </tableColumns>
  <tableStyleInfo name="TableStyleMedium18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9D501FBD-1262-4856-B628-466483155A17}" name="Table671016222834404349" displayName="Table671016222834404349" ref="B229:K246" totalsRowCount="1" headerRowDxfId="840" dataDxfId="839" totalsRowDxfId="838">
  <autoFilter ref="B229:K245" xr:uid="{9D501FBD-1262-4856-B628-466483155A1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230:K245">
    <sortCondition ref="C20:C35"/>
  </sortState>
  <tableColumns count="10">
    <tableColumn id="1" xr3:uid="{40D7CAF3-3205-4A23-875D-75ABFD58D4CB}" name="Pick Up County" totalsRowLabel="Total" dataDxfId="837" totalsRowDxfId="836"/>
    <tableColumn id="2" xr3:uid="{AA72C8B1-5567-435D-B79A-DA893AAD0292}" name="Region" dataDxfId="835" totalsRowDxfId="834"/>
    <tableColumn id="3" xr3:uid="{66147BE5-950C-4FF3-8508-3BBF9559861E}" name="Bus " totalsRowFunction="sum" dataDxfId="833" totalsRowDxfId="832"/>
    <tableColumn id="4" xr3:uid="{B683540B-E25E-439B-A410-5354083F8781}" name="Cab" totalsRowFunction="sum" dataDxfId="831" totalsRowDxfId="830"/>
    <tableColumn id="5" xr3:uid="{3C1770B3-42A0-40B1-9930-C2BDD212AF62}" name="GMR" totalsRowFunction="sum" dataDxfId="829" totalsRowDxfId="828"/>
    <tableColumn id="6" xr3:uid="{814B5A65-9ADE-43EF-BC1C-5EEFE0BD895C}" name="Public Entity" totalsRowFunction="sum" dataDxfId="827" totalsRowDxfId="826"/>
    <tableColumn id="7" xr3:uid="{C9467C29-E1B8-40B1-9B19-82069036ABD2}" name="Stretcher" totalsRowFunction="sum" dataDxfId="825" totalsRowDxfId="824"/>
    <tableColumn id="8" xr3:uid="{9562327F-3677-43EE-B3CE-F94E368C6A51}" name="TNC Vendor" totalsRowFunction="sum" dataDxfId="823" totalsRowDxfId="822"/>
    <tableColumn id="9" xr3:uid="{8F830984-848C-4872-BE52-2B9C97F44BEB}" name="Wheelchair" totalsRowFunction="sum" dataDxfId="821" totalsRowDxfId="820"/>
    <tableColumn id="10" xr3:uid="{4DBA14CD-63E4-4287-ABBE-93213ADE479A}" name="Total" totalsRowFunction="sum" dataDxfId="819" totalsRowDxfId="818">
      <calculatedColumnFormula>SUM(Table671016222834404349[[#This Row],[Bus ]:[Wheelchair]])</calculatedColumnFormula>
    </tableColumn>
  </tableColumns>
  <tableStyleInfo name="TableStyleMedium16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154D6341-9BCB-4689-886A-5AF2D05BE3B0}" name="Table781117232935414450" displayName="Table781117232935414450" ref="N229:W248" totalsRowCount="1" headerRowDxfId="817" dataDxfId="816" totalsRowDxfId="815">
  <autoFilter ref="N229:W247" xr:uid="{154D6341-9BCB-4689-886A-5AF2D05BE3B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230:W244">
    <sortCondition ref="O20:O35"/>
  </sortState>
  <tableColumns count="10">
    <tableColumn id="1" xr3:uid="{BD043895-7DE8-4AE4-B5A0-F7A1272C6340}" name="Pick Up County" totalsRowLabel="Total" dataDxfId="814" totalsRowDxfId="813"/>
    <tableColumn id="2" xr3:uid="{2F921D72-71E1-428F-BD55-E6B12DA38BBA}" name="Region" dataDxfId="812" totalsRowDxfId="811"/>
    <tableColumn id="3" xr3:uid="{423DF4D6-A9FD-4A66-8405-9893EFEE19B7}" name="Bus " totalsRowFunction="sum" dataDxfId="810" totalsRowDxfId="809"/>
    <tableColumn id="4" xr3:uid="{E69089FD-EF3E-476F-8371-AF71504D3B59}" name="Cab" totalsRowFunction="sum" dataDxfId="808" totalsRowDxfId="807"/>
    <tableColumn id="5" xr3:uid="{21D821AB-BD94-4095-8749-A5C329199B74}" name="GMR" totalsRowFunction="sum" dataDxfId="806" totalsRowDxfId="805"/>
    <tableColumn id="6" xr3:uid="{F6DB7DE2-4792-4789-94CE-7A53D561322B}" name="Public Entity" totalsRowFunction="sum" dataDxfId="804" totalsRowDxfId="803"/>
    <tableColumn id="7" xr3:uid="{E6775F4B-3485-4FBB-A2EB-BD0A79780B31}" name="Stretcher" totalsRowFunction="sum" dataDxfId="802" totalsRowDxfId="801"/>
    <tableColumn id="8" xr3:uid="{1FF2D0F6-EFF2-4417-9E01-8F139BDAA42E}" name="TNC Vendor" totalsRowFunction="sum" dataDxfId="800" totalsRowDxfId="799"/>
    <tableColumn id="9" xr3:uid="{9B935EA3-B261-4069-BDDB-32894F7AE2AF}" name="Wheelchair" totalsRowFunction="sum" dataDxfId="798" totalsRowDxfId="797"/>
    <tableColumn id="10" xr3:uid="{F5BFE051-C55D-4427-B901-0CF8C77C4841}" name="Total" totalsRowFunction="sum" dataDxfId="796" totalsRowDxfId="795">
      <calculatedColumnFormula>SUM(Table781117232935414450[[#This Row],[Bus ]:[Wheelchair]])</calculatedColumnFormula>
    </tableColumn>
  </tableColumns>
  <tableStyleInfo name="TableStyleMedium1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9B7EE3B0-3945-4F1A-9502-9583FB71D842}" name="Table67101622283440434958" displayName="Table67101622283440434958" ref="B253:K270" totalsRowCount="1" headerRowDxfId="794" dataDxfId="793" totalsRowDxfId="792">
  <autoFilter ref="B253:K269" xr:uid="{9B7EE3B0-3945-4F1A-9502-9583FB71D84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254:K269">
    <sortCondition ref="C20:C35"/>
  </sortState>
  <tableColumns count="10">
    <tableColumn id="1" xr3:uid="{5F68C07B-0AAE-4F41-A3E0-6C06682340F9}" name="Pick Up County" totalsRowLabel="Total" dataDxfId="791" totalsRowDxfId="790"/>
    <tableColumn id="2" xr3:uid="{CA951D20-4714-44EE-8F0C-7306FCE5745C}" name="Region" dataDxfId="789" totalsRowDxfId="788"/>
    <tableColumn id="3" xr3:uid="{785168A5-8462-440C-A895-DC0DB2174221}" name="Bus " totalsRowFunction="sum" dataDxfId="787" totalsRowDxfId="786"/>
    <tableColumn id="4" xr3:uid="{6043A97E-8D04-4B77-B04F-4C9F5537DBBD}" name="Cab" totalsRowFunction="sum" dataDxfId="785" totalsRowDxfId="784"/>
    <tableColumn id="5" xr3:uid="{5FEED429-5E9B-44E5-A408-C2231B370000}" name="GMR" totalsRowFunction="sum" dataDxfId="783" totalsRowDxfId="782"/>
    <tableColumn id="6" xr3:uid="{B8861770-FF5B-41F3-9A36-4C8D70FAACC3}" name="Public Entity" totalsRowFunction="sum" dataDxfId="781" totalsRowDxfId="780"/>
    <tableColumn id="7" xr3:uid="{1DEDEAA5-EC55-484E-93C1-1D19122EB6AE}" name="Stretcher" totalsRowFunction="sum" dataDxfId="779" totalsRowDxfId="778"/>
    <tableColumn id="8" xr3:uid="{A81E840D-1C95-4022-9705-126B57EAE1CA}" name="TNC Vendor" totalsRowFunction="sum" dataDxfId="777" totalsRowDxfId="776"/>
    <tableColumn id="9" xr3:uid="{AC7236ED-8B4D-481F-9EF3-6452A1FFCA8D}" name="Wheelchair" totalsRowFunction="sum" dataDxfId="775" totalsRowDxfId="774"/>
    <tableColumn id="10" xr3:uid="{A01C9EB1-843B-470A-A6CB-6D7AB56EAA3B}" name="Total" totalsRowFunction="sum" dataDxfId="773" totalsRowDxfId="772">
      <calculatedColumnFormula>SUM(Table67101622283440434958[[#This Row],[Bus ]:[Wheelchair]])</calculatedColumnFormula>
    </tableColumn>
  </tableColumns>
  <tableStyleInfo name="TableStyleMedium16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8A0706EA-A50F-4F4C-B842-A098FD084FD2}" name="Table78111723293541445059" displayName="Table78111723293541445059" ref="N253:W270" totalsRowCount="1" headerRowDxfId="771" dataDxfId="770" totalsRowDxfId="769">
  <autoFilter ref="N253:W269" xr:uid="{8A0706EA-A50F-4F4C-B842-A098FD084FD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254:W268">
    <sortCondition ref="O20:O35"/>
  </sortState>
  <tableColumns count="10">
    <tableColumn id="1" xr3:uid="{E414421A-752C-4BB7-B58A-711B6F29FACD}" name="Pick Up County" totalsRowLabel="Total" dataDxfId="768" totalsRowDxfId="767"/>
    <tableColumn id="2" xr3:uid="{4BABDAEF-118D-418D-83EB-CFDA297BC527}" name="Region" dataDxfId="766" totalsRowDxfId="765"/>
    <tableColumn id="3" xr3:uid="{3385F099-84C2-4B70-B044-1AA576EF4EA8}" name="Bus " totalsRowFunction="sum" dataDxfId="764" totalsRowDxfId="763"/>
    <tableColumn id="4" xr3:uid="{76AB33A0-F3AB-4C11-91CC-C0011DAF444E}" name="Cab" totalsRowFunction="sum" dataDxfId="762" totalsRowDxfId="761"/>
    <tableColumn id="5" xr3:uid="{28111013-6752-46BE-9A88-998BF44260CC}" name="GMR" totalsRowFunction="sum" dataDxfId="760" totalsRowDxfId="759"/>
    <tableColumn id="6" xr3:uid="{F1C4304D-163C-488D-AA24-9DC71D0C2428}" name="Public Entity" totalsRowFunction="sum" dataDxfId="758" totalsRowDxfId="757"/>
    <tableColumn id="7" xr3:uid="{9B4D02B0-83BE-4563-A5DB-D9458E3FB683}" name="Stretcher" totalsRowFunction="sum" dataDxfId="756" totalsRowDxfId="755"/>
    <tableColumn id="8" xr3:uid="{041445A8-17AB-4AB5-9748-6FCF24E1CC8C}" name="TNC Vendor" totalsRowFunction="sum" dataDxfId="754" totalsRowDxfId="753"/>
    <tableColumn id="9" xr3:uid="{598F75C3-C5C3-4242-A5A7-7EADA4B8D3F0}" name="Wheelchair" totalsRowFunction="sum" dataDxfId="752" totalsRowDxfId="751"/>
    <tableColumn id="10" xr3:uid="{B8EC66AC-6FF3-4379-A433-A46B17D96F61}" name="Total" totalsRowFunction="sum" dataDxfId="750" totalsRowDxfId="749">
      <calculatedColumnFormula>SUM(Table78111723293541445059[[#This Row],[Bus ]:[Wheelchair]])</calculatedColumnFormula>
    </tableColumn>
  </tableColumns>
  <tableStyleInfo name="TableStyleMedium1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0D5F12A-F630-4339-B6BB-9DF3840845BB}" name="Table6710162228344043495861" displayName="Table6710162228344043495861" ref="B275:K293" totalsRowCount="1" headerRowDxfId="748" dataDxfId="747" totalsRowDxfId="746">
  <autoFilter ref="B275:K292" xr:uid="{B0D5F12A-F630-4339-B6BB-9DF3840845B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276:K291">
    <sortCondition ref="C20:C35"/>
  </sortState>
  <tableColumns count="10">
    <tableColumn id="1" xr3:uid="{1AC3693F-0723-4FAC-8B6F-7116EBCF6BF7}" name="Pick Up County" totalsRowLabel="Total" dataDxfId="745" totalsRowDxfId="744"/>
    <tableColumn id="2" xr3:uid="{3347470A-F93E-4DD4-950A-F8D5289842D4}" name="Region" dataDxfId="743" totalsRowDxfId="742"/>
    <tableColumn id="3" xr3:uid="{4AC0A16E-3D62-45FE-B227-1A35B9674656}" name="Bus " totalsRowFunction="sum" dataDxfId="741" totalsRowDxfId="740"/>
    <tableColumn id="4" xr3:uid="{2827A732-9CFA-4029-A7C4-42982B9D54AB}" name="Cab" totalsRowFunction="sum" dataDxfId="739" totalsRowDxfId="738"/>
    <tableColumn id="5" xr3:uid="{18C99F4E-5A94-4DEB-AABB-137999989C3D}" name="GMR" totalsRowFunction="sum" dataDxfId="737" totalsRowDxfId="736"/>
    <tableColumn id="6" xr3:uid="{95BB22F1-7A37-495C-9E29-FEF144BBAF48}" name="Public Entity" totalsRowFunction="sum" dataDxfId="735" totalsRowDxfId="734"/>
    <tableColumn id="7" xr3:uid="{081AB741-B121-437E-8093-527884342B6E}" name="Stretcher" totalsRowFunction="sum" dataDxfId="733" totalsRowDxfId="732"/>
    <tableColumn id="8" xr3:uid="{65CB1651-A5A0-41FC-88A1-4705E833F0DF}" name="TNC Vendor" totalsRowFunction="sum" dataDxfId="731" totalsRowDxfId="730"/>
    <tableColumn id="9" xr3:uid="{C224ABCE-F74F-4549-A509-839C07B51C31}" name="Wheelchair" totalsRowFunction="sum" dataDxfId="729" totalsRowDxfId="728"/>
    <tableColumn id="10" xr3:uid="{29C3274D-8164-48EB-9075-1FE224EBE69B}" name="Total" totalsRowFunction="sum" dataDxfId="727" totalsRowDxfId="726">
      <calculatedColumnFormula>SUM(Table6710162228344043495861[[#This Row],[Bus ]:[Wheelchair]])</calculatedColumnFormula>
    </tableColumn>
  </tableColumns>
  <tableStyleInfo name="TableStyleMedium16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FBBE40AC-CEBC-48D7-9FF5-058A877B5833}" name="Table7811172329354144505962" displayName="Table7811172329354144505962" ref="N275:W292" totalsRowCount="1" headerRowDxfId="725" dataDxfId="724" totalsRowDxfId="723">
  <autoFilter ref="N275:W291" xr:uid="{FBBE40AC-CEBC-48D7-9FF5-058A877B58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N276:W290">
    <sortCondition ref="O20:O35"/>
  </sortState>
  <tableColumns count="10">
    <tableColumn id="1" xr3:uid="{8C78287B-2475-4C69-8E34-A64F6E5F6597}" name="Pick Up County" totalsRowLabel="Total" dataDxfId="722" totalsRowDxfId="721"/>
    <tableColumn id="2" xr3:uid="{6AE4556E-B83C-4B73-BB79-7B2125268641}" name="Region" dataDxfId="720" totalsRowDxfId="719"/>
    <tableColumn id="3" xr3:uid="{290896BF-474F-4C3E-9503-7B4045818B91}" name="Bus " totalsRowFunction="sum" dataDxfId="718" totalsRowDxfId="717"/>
    <tableColumn id="4" xr3:uid="{F326B7FA-45C1-4325-97BD-9D96B351D49B}" name="Cab" totalsRowFunction="sum" dataDxfId="716" totalsRowDxfId="715"/>
    <tableColumn id="5" xr3:uid="{81CAFDB0-6630-4385-A624-FFD77F6ADD6F}" name="GMR" totalsRowFunction="sum" dataDxfId="714" totalsRowDxfId="713"/>
    <tableColumn id="6" xr3:uid="{46C1F94E-E328-42A1-B30F-E34523086E2F}" name="Public Entity" totalsRowFunction="sum" dataDxfId="712" totalsRowDxfId="711"/>
    <tableColumn id="7" xr3:uid="{9D860FC6-FA5E-4C31-8F97-D9660059874E}" name="Stretcher" totalsRowFunction="sum" dataDxfId="710" totalsRowDxfId="709"/>
    <tableColumn id="8" xr3:uid="{A4C93068-677D-4C6A-97A4-7D2775763F4E}" name="TNC Vendor" totalsRowFunction="sum" dataDxfId="708" totalsRowDxfId="707"/>
    <tableColumn id="9" xr3:uid="{E24FFA81-3626-4906-8B22-0FF32701373B}" name="Wheelchair" totalsRowFunction="sum" dataDxfId="706" totalsRowDxfId="705"/>
    <tableColumn id="10" xr3:uid="{4A94AAD1-2232-4B04-B404-A60D7E9E1C9F}" name="Total" totalsRowFunction="sum" dataDxfId="704" totalsRowDxfId="703">
      <calculatedColumnFormula>SUM(Table7811172329354144505962[[#This Row],[Bus ]:[Wheelchair]])</calculatedColumnFormula>
    </tableColumn>
  </tableColumns>
  <tableStyleInfo name="TableStyleMedium18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36C54A28-FDD3-4924-85D2-1C1DCA0AF8F5}" name="January24" displayName="January24" ref="B22:K54" totalsRowCount="1" headerRowDxfId="702" dataDxfId="700" totalsRowDxfId="698" headerRowBorderDxfId="701" tableBorderDxfId="699" totalsRowBorderDxfId="697">
  <autoFilter ref="B22:K53" xr:uid="{36C54A28-FDD3-4924-85D2-1C1DCA0AF8F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76C25EFF-9652-4ED4-8871-65DD7861F7AB}" name="Pick Up County" totalsRowLabel="Total" dataDxfId="696" totalsRowDxfId="695"/>
    <tableColumn id="3" xr3:uid="{1B4A7F10-367C-46D5-B99B-40CABEF81BAD}" name="State" dataDxfId="694" totalsRowDxfId="693"/>
    <tableColumn id="4" xr3:uid="{65FB86B6-2318-4C1F-B995-41CDC0A27E12}" name="Bus " totalsRowFunction="sum" dataDxfId="692" totalsRowDxfId="691"/>
    <tableColumn id="5" xr3:uid="{2D160976-5373-42B7-B0D9-C9F9A96252FC}" name="Cab" totalsRowFunction="sum" dataDxfId="690" totalsRowDxfId="689"/>
    <tableColumn id="6" xr3:uid="{ABD6D053-A07B-4FC0-9EDD-13389BF8AED7}" name="GMR" totalsRowFunction="sum" dataDxfId="688" totalsRowDxfId="687"/>
    <tableColumn id="7" xr3:uid="{80012DF5-4EB8-4EA3-8189-ADF08A4E4C1C}" name="Public Entity" totalsRowFunction="sum" dataDxfId="686" totalsRowDxfId="685"/>
    <tableColumn id="8" xr3:uid="{089D635C-A214-4E0D-BF80-EED58ABF022D}" name="Stretcher" totalsRowFunction="sum" dataDxfId="684" totalsRowDxfId="683"/>
    <tableColumn id="9" xr3:uid="{11D85B96-9611-41AA-BE6B-611F77AB5D33}" name="TNC Vendor" totalsRowFunction="sum" dataDxfId="682" totalsRowDxfId="681"/>
    <tableColumn id="10" xr3:uid="{FCA66564-F5ED-45C0-A419-A2E5351416B8}" name="Wheelchair" totalsRowFunction="sum" dataDxfId="680" totalsRowDxfId="679"/>
    <tableColumn id="11" xr3:uid="{C1E5DD51-2A62-4271-93E3-0CF1EC348710}" name="Total" totalsRowFunction="sum" dataDxfId="678" totalsRowDxfId="677">
      <calculatedColumnFormula>SUM(January24[[#This Row],[Bus ]:[Wheelchair]])</calculatedColumnFormula>
    </tableColumn>
  </tableColumns>
  <tableStyleInfo name="TableStyleMedium16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4EB30311-DB26-4995-B184-65A5B2E3C562}" name="January25" displayName="January25" ref="M22:V53" totalsRowCount="1" headerRowDxfId="676" dataDxfId="674" totalsRowDxfId="672" headerRowBorderDxfId="675" tableBorderDxfId="673" totalsRowBorderDxfId="671">
  <autoFilter ref="M22:V52" xr:uid="{4EB30311-DB26-4995-B184-65A5B2E3C56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97607311-6B2A-4EBD-B6E5-7E86B9B36698}" name="Pick Up County" totalsRowLabel="Total" dataDxfId="670" totalsRowDxfId="669"/>
    <tableColumn id="3" xr3:uid="{E62985ED-ECD4-439B-A399-1F9CC39710CB}" name="State" dataDxfId="668" totalsRowDxfId="667"/>
    <tableColumn id="4" xr3:uid="{4EC11F5E-72F5-415A-8D43-9A392C086842}" name="Bus " totalsRowFunction="sum" dataDxfId="666" totalsRowDxfId="665"/>
    <tableColumn id="5" xr3:uid="{AFA737DC-2DD4-4B6F-BF26-AB596BE18F4B}" name="Cab" totalsRowFunction="sum" dataDxfId="664" totalsRowDxfId="663"/>
    <tableColumn id="6" xr3:uid="{45C4D68C-5AFB-4E55-B5F5-B5071F8F9D11}" name="GMR" totalsRowFunction="sum" dataDxfId="662" totalsRowDxfId="661"/>
    <tableColumn id="7" xr3:uid="{3D5F592E-D4F7-4373-9C83-C91F2FD8EE44}" name="Public Entity" totalsRowFunction="sum" dataDxfId="660" totalsRowDxfId="659"/>
    <tableColumn id="8" xr3:uid="{9319EA31-02C8-4084-BD76-41AD1286E497}" name="Stretcher" totalsRowFunction="sum" dataDxfId="658" totalsRowDxfId="657"/>
    <tableColumn id="9" xr3:uid="{575AD47D-59D6-492D-B19B-B205CB06FF94}" name="TNC Vendor" totalsRowFunction="sum" dataDxfId="656" totalsRowDxfId="655"/>
    <tableColumn id="10" xr3:uid="{6C6B56F3-4651-41C6-A48D-C89B6EF8705F}" name="Wheelchair" totalsRowFunction="sum" dataDxfId="654" totalsRowDxfId="653"/>
    <tableColumn id="11" xr3:uid="{4E0CF5B4-6AB1-4801-A6E2-C027AE336C04}" name="Total" totalsRowFunction="sum" dataDxfId="652" totalsRowDxfId="651">
      <calculatedColumnFormula>SUM(January25[[#This Row],[Bus ]:[Wheelchair]])</calculatedColumnFormula>
    </tableColumn>
  </tableColumns>
  <tableStyleInfo name="TableStyleMedium16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E7D985EF-BC97-4887-830A-A46FBD9E58FB}" name="Table676771" displayName="Table676771" ref="B60:K87" totalsRowCount="1" headerRowDxfId="650" dataDxfId="648" totalsRowDxfId="646" headerRowBorderDxfId="649" tableBorderDxfId="647" totalsRowBorderDxfId="645">
  <autoFilter ref="B60:K86" xr:uid="{E7D985EF-BC97-4887-830A-A46FBD9E58F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C59255AD-58E0-4D4D-8DF3-E9390F1608D7}" name="Pick Up County" totalsRowLabel="Total" dataDxfId="644" totalsRowDxfId="643"/>
    <tableColumn id="3" xr3:uid="{FE2292B0-AB34-4736-AC42-9057C7EE3076}" name="State" dataDxfId="642" totalsRowDxfId="641"/>
    <tableColumn id="4" xr3:uid="{E7592318-F177-4199-A9B1-A31AA4196DFB}" name="Bus " totalsRowFunction="sum" dataDxfId="640" totalsRowDxfId="639"/>
    <tableColumn id="5" xr3:uid="{E4155DD7-0424-4015-8D99-C56A3BEDA478}" name="Cab" totalsRowFunction="sum" dataDxfId="638" totalsRowDxfId="637"/>
    <tableColumn id="6" xr3:uid="{11CDDD9C-A5FD-4DCB-9C8F-2D21DF88F3C2}" name="GMR" totalsRowFunction="sum" dataDxfId="636" totalsRowDxfId="635"/>
    <tableColumn id="7" xr3:uid="{EE80EEB3-2C61-4D03-ACCC-F66C3437343F}" name="Public Entity" totalsRowFunction="sum" dataDxfId="634" totalsRowDxfId="633"/>
    <tableColumn id="8" xr3:uid="{947D900F-218C-4A5F-8A13-1FEB33CFD6EF}" name="Stretcher" totalsRowFunction="sum" dataDxfId="632" totalsRowDxfId="631"/>
    <tableColumn id="9" xr3:uid="{5446D871-EBF0-4026-AE54-E03184067920}" name="TNC Vendor" totalsRowFunction="sum" dataDxfId="630" totalsRowDxfId="629"/>
    <tableColumn id="10" xr3:uid="{610A466A-2193-4DC6-9422-63CCA85DC969}" name="Wheelchair" totalsRowFunction="sum" dataDxfId="628" totalsRowDxfId="627"/>
    <tableColumn id="11" xr3:uid="{86BD737E-72A8-4918-9C83-6D381AC891B8}" name="Total" totalsRowFunction="sum" dataDxfId="626" totalsRowDxfId="625">
      <calculatedColumnFormula>SUM(Table676771[[#This Row],[Bus ]:[Wheelchair]])</calculatedColumnFormula>
    </tableColumn>
  </tableColumns>
  <tableStyleInfo name="TableStyleMedium16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DE1F6544-4F63-4064-A350-AE717BE328E4}" name="Table67676972" displayName="Table67676972" ref="M60:V92" totalsRowCount="1" headerRowDxfId="624" dataDxfId="622" totalsRowDxfId="620" headerRowBorderDxfId="623" tableBorderDxfId="621" totalsRowBorderDxfId="619">
  <autoFilter ref="M60:V91" xr:uid="{DE1F6544-4F63-4064-A350-AE717BE328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53DAA4BA-03D1-43F7-936F-18AC9FEF6BD6}" name="Pick Up County" totalsRowLabel="Total" dataDxfId="618" totalsRowDxfId="617"/>
    <tableColumn id="3" xr3:uid="{D230832A-1AA3-4564-9BAD-B1A7DE9EE6A3}" name="State" dataDxfId="616" totalsRowDxfId="615"/>
    <tableColumn id="4" xr3:uid="{2CE2EF29-03A4-4712-AEAE-885C2ADB20D2}" name="Bus " totalsRowFunction="sum" dataDxfId="614" totalsRowDxfId="613"/>
    <tableColumn id="5" xr3:uid="{4127D1AB-F173-4494-BF1E-FD8120960C85}" name="Cab" totalsRowFunction="sum" dataDxfId="612" totalsRowDxfId="611"/>
    <tableColumn id="6" xr3:uid="{FC86E58F-4C14-44A5-91EB-AF25519F2093}" name="GMR" totalsRowFunction="sum" dataDxfId="610" totalsRowDxfId="609"/>
    <tableColumn id="7" xr3:uid="{D6A29400-27B1-488F-A5B5-1F61BDF917EE}" name="Public Entity" totalsRowFunction="sum" dataDxfId="608" totalsRowDxfId="607"/>
    <tableColumn id="8" xr3:uid="{B0DBC89D-C394-49E0-BEB6-6B049A75C9D8}" name="Stretcher" totalsRowFunction="sum" dataDxfId="606" totalsRowDxfId="605"/>
    <tableColumn id="9" xr3:uid="{C276C022-1B20-4797-8DE5-B22E36D39D5C}" name="TNC Vendor" totalsRowFunction="sum" dataDxfId="604" totalsRowDxfId="603"/>
    <tableColumn id="10" xr3:uid="{D0AD4484-C72D-4DFB-8C58-5A44717C6A6E}" name="Wheelchair" totalsRowFunction="sum" dataDxfId="602" totalsRowDxfId="601"/>
    <tableColumn id="11" xr3:uid="{13899AC5-CDA9-4912-AFA0-C505228A3854}" name="Total" totalsRowFunction="sum" dataDxfId="600" totalsRowDxfId="599">
      <calculatedColumnFormula>SUM(Table67676972[[#This Row],[Bus ]:[Wheelchair]])</calculatedColumnFormula>
    </tableColumn>
  </tableColumns>
  <tableStyleInfo name="TableStyleMedium16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CF32FD90-7934-4077-9413-EB173F7F7A79}" name="Table67677174" displayName="Table67677174" ref="B97:K124" totalsRowCount="1" headerRowDxfId="598" dataDxfId="596" totalsRowDxfId="594" headerRowBorderDxfId="597" tableBorderDxfId="595" totalsRowBorderDxfId="593">
  <autoFilter ref="B97:K123" xr:uid="{CF32FD90-7934-4077-9413-EB173F7F7A7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C9509FB8-7FE5-4923-8745-45DD8AFB3412}" name="Pick Up County" totalsRowLabel="Total" dataDxfId="592" totalsRowDxfId="591"/>
    <tableColumn id="3" xr3:uid="{BE5CD554-00CF-41C2-853C-239A95062702}" name="State" dataDxfId="590" totalsRowDxfId="589"/>
    <tableColumn id="4" xr3:uid="{5E842057-191E-4275-8B72-D27632BF1690}" name="Bus " totalsRowFunction="sum" dataDxfId="588" totalsRowDxfId="587"/>
    <tableColumn id="5" xr3:uid="{A57CB19A-76B5-4096-A4EF-F8516620BA4C}" name="Cab" totalsRowFunction="sum" dataDxfId="586" totalsRowDxfId="585"/>
    <tableColumn id="6" xr3:uid="{3265764A-0E91-4663-92F6-6426BA79ACBE}" name="GMR" totalsRowFunction="sum" dataDxfId="584" totalsRowDxfId="583"/>
    <tableColumn id="7" xr3:uid="{D2B3C5F2-389A-4462-A07B-D9C3F1266A01}" name="Public Entity" totalsRowFunction="sum" dataDxfId="582" totalsRowDxfId="581"/>
    <tableColumn id="8" xr3:uid="{DEDB51F4-5415-4005-8486-6AD878EF2BEB}" name="Stretcher" totalsRowFunction="sum" dataDxfId="580" totalsRowDxfId="579"/>
    <tableColumn id="9" xr3:uid="{0DF514A2-68F3-4B7F-8944-BE5F7B66FB1A}" name="TNC Vendor" totalsRowFunction="sum" dataDxfId="578" totalsRowDxfId="577"/>
    <tableColumn id="10" xr3:uid="{888EDE2E-3446-4F2B-A473-730138937F46}" name="Wheelchair" totalsRowFunction="sum" dataDxfId="576" totalsRowDxfId="575"/>
    <tableColumn id="11" xr3:uid="{13587618-DA8D-4E25-BFAA-7D5E44DC2038}" name="Total" totalsRowFunction="sum" dataDxfId="574" totalsRowDxfId="573">
      <calculatedColumnFormula>SUM(Table67677174[[#This Row],[Bus ]:[Wheelchair]])</calculatedColumnFormula>
    </tableColumn>
  </tableColumns>
  <tableStyleInfo name="TableStyleMedium16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BC1217DE-0680-4E26-A288-8068CDE5BB88}" name="Table6767697275" displayName="Table6767697275" ref="M97:V134" totalsRowCount="1" headerRowDxfId="572" dataDxfId="570" totalsRowDxfId="568" headerRowBorderDxfId="571" tableBorderDxfId="569" totalsRowBorderDxfId="567">
  <autoFilter ref="M97:V133" xr:uid="{BC1217DE-0680-4E26-A288-8068CDE5BB8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F18C46CF-6442-49BA-ACA8-829CA91EF7EA}" name="Pick Up County" totalsRowLabel="Total" dataDxfId="566" totalsRowDxfId="565"/>
    <tableColumn id="3" xr3:uid="{CC6E3732-A1B3-4C52-92A1-D7D78B604A6A}" name="State" dataDxfId="564" totalsRowDxfId="563"/>
    <tableColumn id="4" xr3:uid="{A8FACEE9-B630-4AF4-BC62-6EAA1AFC5C7E}" name="Bus " totalsRowFunction="sum" dataDxfId="562" totalsRowDxfId="561"/>
    <tableColumn id="5" xr3:uid="{7043FE30-89B4-4441-85D3-49D40C77996E}" name="Cab" totalsRowFunction="sum" dataDxfId="560" totalsRowDxfId="559"/>
    <tableColumn id="6" xr3:uid="{127A18C0-DDB8-488E-A438-5303419907E5}" name="GMR" totalsRowFunction="sum" dataDxfId="558" totalsRowDxfId="557"/>
    <tableColumn id="7" xr3:uid="{E6C9B277-2DCE-4F43-B663-362E1F84563A}" name="Public Entity" totalsRowFunction="sum" dataDxfId="556" totalsRowDxfId="555"/>
    <tableColumn id="8" xr3:uid="{F3B7F3C6-987C-476B-9283-4CBF0FC62022}" name="Stretcher" totalsRowFunction="sum" dataDxfId="554" totalsRowDxfId="553"/>
    <tableColumn id="9" xr3:uid="{96D9DFC7-E781-4DBF-86B2-CDD2985CA198}" name="TNC Vendor" totalsRowFunction="sum" dataDxfId="552" totalsRowDxfId="551"/>
    <tableColumn id="10" xr3:uid="{B4AEDC13-1797-4B6A-8F30-901B7409FAE9}" name="Wheelchair" totalsRowFunction="sum" dataDxfId="550" totalsRowDxfId="549"/>
    <tableColumn id="11" xr3:uid="{6F7AB952-59F5-4EF2-9B55-C551B90F168D}" name="Total" totalsRowFunction="sum" dataDxfId="548" totalsRowDxfId="547">
      <calculatedColumnFormula>SUM(Table6767697275[[#This Row],[Bus ]:[Wheelchair]])</calculatedColumnFormula>
    </tableColumn>
  </tableColumns>
  <tableStyleInfo name="TableStyleMedium16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F0C74DAE-E8C6-4821-A277-E469EEE46889}" name="Table6767717413" displayName="Table6767717413" ref="B139:K169" totalsRowCount="1" headerRowDxfId="546" dataDxfId="544" totalsRowDxfId="542" headerRowBorderDxfId="545" tableBorderDxfId="543" totalsRowBorderDxfId="541">
  <autoFilter ref="B139:K168" xr:uid="{F0C74DAE-E8C6-4821-A277-E469EEE4688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9DCE13AB-F0AB-44FE-92E8-32D602DFD90A}" name="Pick Up County" totalsRowLabel="Total" dataDxfId="540" totalsRowDxfId="539"/>
    <tableColumn id="3" xr3:uid="{CFA18C04-EC1A-4BC7-80A2-97C1E629BC69}" name="State" dataDxfId="538" totalsRowDxfId="537"/>
    <tableColumn id="4" xr3:uid="{63C3EDFD-2A29-47F0-9574-358437B2AE53}" name="Bus " totalsRowFunction="sum" dataDxfId="536" totalsRowDxfId="535"/>
    <tableColumn id="5" xr3:uid="{290656D8-32F1-411E-9FCD-01D79C048EF5}" name="Cab" totalsRowFunction="sum" dataDxfId="534" totalsRowDxfId="533"/>
    <tableColumn id="6" xr3:uid="{DEABF524-E1E2-4F58-AF77-7CD64224B70B}" name="GMR" totalsRowFunction="sum" dataDxfId="532" totalsRowDxfId="531"/>
    <tableColumn id="7" xr3:uid="{C15C6F6D-54F2-4DF3-A1C3-B5BD82522C85}" name="Public Entity" totalsRowFunction="sum" dataDxfId="530" totalsRowDxfId="529"/>
    <tableColumn id="8" xr3:uid="{E24E4176-8D29-4355-AD96-F034AA54E744}" name="Stretcher" totalsRowFunction="sum" dataDxfId="528" totalsRowDxfId="527"/>
    <tableColumn id="9" xr3:uid="{1B348D83-06C7-444B-B407-51F8F7EB9730}" name="TNC Vendor" totalsRowFunction="sum" dataDxfId="526" totalsRowDxfId="525"/>
    <tableColumn id="10" xr3:uid="{96F6BDA8-AC2C-46EC-8D89-BCAE2E3188FC}" name="Wheelchair" totalsRowFunction="sum" dataDxfId="524" totalsRowDxfId="523"/>
    <tableColumn id="11" xr3:uid="{B9B468E9-536E-425A-BA7E-3A4EFC5FC735}" name="Total" totalsRowFunction="sum" dataDxfId="522" totalsRowDxfId="521">
      <calculatedColumnFormula>SUM(Table6767717413[[#This Row],[Bus ]:[Wheelchair]])</calculatedColumnFormula>
    </tableColumn>
  </tableColumns>
  <tableStyleInfo name="TableStyleMedium16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A1465519-6935-45A8-A322-A7A0C5FF46C3}" name="Table676769727514" displayName="Table676769727514" ref="M139:V168" totalsRowCount="1" headerRowDxfId="520" dataDxfId="518" totalsRowDxfId="516" headerRowBorderDxfId="519" tableBorderDxfId="517" totalsRowBorderDxfId="515">
  <autoFilter ref="M139:V167" xr:uid="{A1465519-6935-45A8-A322-A7A0C5FF46C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0358E873-1A84-43D2-9C3B-5FAEF5507857}" name="Pick Up County" totalsRowLabel="Total" dataDxfId="514" totalsRowDxfId="513"/>
    <tableColumn id="3" xr3:uid="{4703FD36-9AA9-4A34-9DC0-7C3D38B22EE9}" name="State" dataDxfId="512" totalsRowDxfId="511"/>
    <tableColumn id="4" xr3:uid="{64B3BFA2-87B8-4AC2-B5A1-8F0F969A24F3}" name="Bus " totalsRowFunction="sum" dataDxfId="510" totalsRowDxfId="509"/>
    <tableColumn id="5" xr3:uid="{3AB89DED-B827-4AE6-8A4C-395DFF879601}" name="Cab" totalsRowFunction="sum" dataDxfId="508" totalsRowDxfId="507"/>
    <tableColumn id="6" xr3:uid="{F913DC72-3435-403A-B52B-4D572F311FD0}" name="GMR" totalsRowFunction="sum" dataDxfId="506" totalsRowDxfId="505"/>
    <tableColumn id="7" xr3:uid="{8E1CB91F-DC90-41F3-80E3-E01568F6666B}" name="Public Entity" totalsRowFunction="sum" dataDxfId="504" totalsRowDxfId="503"/>
    <tableColumn id="8" xr3:uid="{A52630A1-05C0-4D35-8A93-AA40C9AE3574}" name="Stretcher" totalsRowFunction="sum" dataDxfId="502" totalsRowDxfId="501"/>
    <tableColumn id="9" xr3:uid="{19B0A04B-A07C-445C-8D72-B24160A43F91}" name="TNC Vendor" totalsRowFunction="sum" dataDxfId="500" totalsRowDxfId="499"/>
    <tableColumn id="10" xr3:uid="{7430C350-09F2-421E-B376-130665B9790C}" name="Wheelchair" totalsRowFunction="sum" dataDxfId="498" totalsRowDxfId="497"/>
    <tableColumn id="11" xr3:uid="{3F3B1684-DF3A-426B-AB63-36AFCB9372D9}" name="Total" totalsRowFunction="sum" dataDxfId="496" totalsRowDxfId="495">
      <calculatedColumnFormula>SUM(Table676769727514[[#This Row],[Bus ]:[Wheelchair]])</calculatedColumnFormula>
    </tableColumn>
  </tableColumns>
  <tableStyleInfo name="TableStyleMedium16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B1B5EAA0-154C-4F4B-B7C0-738AD1D8B9A4}" name="Table676771741320" displayName="Table676771741320" ref="B174:K203" totalsRowCount="1" headerRowDxfId="494" dataDxfId="492" totalsRowDxfId="490" headerRowBorderDxfId="493" tableBorderDxfId="491" totalsRowBorderDxfId="489">
  <autoFilter ref="B174:K202" xr:uid="{B1B5EAA0-154C-4F4B-B7C0-738AD1D8B9A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681A8DF9-C1F7-451C-91C0-E6BF0C128EF7}" name="Pick Up County" totalsRowLabel="Total" dataDxfId="488" totalsRowDxfId="487"/>
    <tableColumn id="3" xr3:uid="{D61A496B-E376-48D1-AEB3-50750CC454B8}" name="State" dataDxfId="486" totalsRowDxfId="485"/>
    <tableColumn id="4" xr3:uid="{F092E901-8909-4C71-8437-29E8FE307F1E}" name="Bus " totalsRowFunction="sum" dataDxfId="484" totalsRowDxfId="483"/>
    <tableColumn id="5" xr3:uid="{2B9D319B-DA6D-4D19-8E52-5C5DA9991C74}" name="Cab" totalsRowFunction="sum" dataDxfId="482" totalsRowDxfId="481"/>
    <tableColumn id="6" xr3:uid="{15472257-1FE8-4F2E-AE3E-0ED80493B9AE}" name="GMR" totalsRowFunction="sum" dataDxfId="480" totalsRowDxfId="479"/>
    <tableColumn id="7" xr3:uid="{FCB4D253-F426-4E90-A596-5FCB30718CFE}" name="Public Entity" totalsRowFunction="sum" dataDxfId="478" totalsRowDxfId="477"/>
    <tableColumn id="8" xr3:uid="{EF6503F2-C4E7-43A0-B0E1-862206BD8C7A}" name="Stretcher" totalsRowFunction="sum" dataDxfId="476" totalsRowDxfId="475"/>
    <tableColumn id="9" xr3:uid="{B47B1F84-25A8-4A98-B2CB-A8C85959B111}" name="TNC Vendor" totalsRowFunction="sum" dataDxfId="474" totalsRowDxfId="473"/>
    <tableColumn id="10" xr3:uid="{07116105-14BF-4BD5-AD20-4BDAB7DC283A}" name="Wheelchair" totalsRowFunction="sum" dataDxfId="472" totalsRowDxfId="471"/>
    <tableColumn id="11" xr3:uid="{9527945B-43A7-4D26-9661-C6BCFB73679F}" name="Total" totalsRowFunction="sum" dataDxfId="470" totalsRowDxfId="469">
      <calculatedColumnFormula>SUM(Table676771741320[[#This Row],[Bus ]:[Wheelchair]])</calculatedColumnFormula>
    </tableColumn>
  </tableColumns>
  <tableStyleInfo name="TableStyleMedium16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FD388F61-B67A-4B2A-9359-7A65173A70BD}" name="Table67676972751421" displayName="Table67676972751421" ref="M174:V200" totalsRowCount="1" headerRowDxfId="468" dataDxfId="466" totalsRowDxfId="464" headerRowBorderDxfId="467" tableBorderDxfId="465" totalsRowBorderDxfId="463">
  <autoFilter ref="M174:V199" xr:uid="{FD388F61-B67A-4B2A-9359-7A65173A70B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2DED193C-4951-4367-A726-FCFC79ADB5A3}" name="Pick Up County" totalsRowLabel="Total" dataDxfId="462" totalsRowDxfId="461"/>
    <tableColumn id="3" xr3:uid="{804EA263-7B62-493C-BD72-926CB7F0FDE7}" name="State" dataDxfId="460" totalsRowDxfId="459"/>
    <tableColumn id="4" xr3:uid="{0587AD97-F3D9-4E53-8FA8-FF537E278C59}" name="Bus " totalsRowFunction="sum" dataDxfId="458" totalsRowDxfId="457"/>
    <tableColumn id="5" xr3:uid="{9B0440CF-797F-4B0C-AA07-8723B15595FA}" name="Cab" totalsRowFunction="sum" dataDxfId="456" totalsRowDxfId="455"/>
    <tableColumn id="6" xr3:uid="{3447EC17-EDE5-4BB6-A3B1-0B898662F164}" name="GMR" totalsRowFunction="sum" dataDxfId="454" totalsRowDxfId="453"/>
    <tableColumn id="7" xr3:uid="{A43B1928-8505-4A69-9324-7D00A1779112}" name="Public Entity" totalsRowFunction="sum" dataDxfId="452" totalsRowDxfId="451"/>
    <tableColumn id="8" xr3:uid="{77465B9A-076A-4FF4-A925-D1B831C4BFEE}" name="Stretcher" totalsRowFunction="sum" dataDxfId="450" totalsRowDxfId="449"/>
    <tableColumn id="9" xr3:uid="{6128DBBA-B255-4D4D-9E9F-C8D723A3D298}" name="TNC Vendor" totalsRowFunction="sum" dataDxfId="448" totalsRowDxfId="447"/>
    <tableColumn id="10" xr3:uid="{43B990EA-BB8F-4342-BE64-01352484E7C6}" name="Wheelchair" totalsRowFunction="sum" dataDxfId="446" totalsRowDxfId="445"/>
    <tableColumn id="11" xr3:uid="{CD3E2353-57DA-481E-B1AE-091BE3D2A7CD}" name="Total" totalsRowFunction="sum" dataDxfId="444" totalsRowDxfId="443">
      <calculatedColumnFormula>SUM(Table67676972751421[[#This Row],[Bus ]:[Wheelchair]])</calculatedColumnFormula>
    </tableColumn>
  </tableColumns>
  <tableStyleInfo name="TableStyleMedium16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105D0387-ED2B-4948-80AC-BB40FB3327BB}" name="Table67677174132025" displayName="Table67677174132025" ref="B208:K231" totalsRowCount="1" headerRowDxfId="442" dataDxfId="440" totalsRowDxfId="438" headerRowBorderDxfId="441" tableBorderDxfId="439" totalsRowBorderDxfId="437">
  <autoFilter ref="B208:K230" xr:uid="{105D0387-ED2B-4948-80AC-BB40FB3327B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16370835-1C6F-4F87-AF57-E6D927FB50C3}" name="Pick Up County" totalsRowLabel="Total" dataDxfId="436" totalsRowDxfId="435"/>
    <tableColumn id="3" xr3:uid="{96857D78-16AE-4F21-9F86-F157E4B7DBC7}" name="State" dataDxfId="434" totalsRowDxfId="433"/>
    <tableColumn id="4" xr3:uid="{AE6D58D9-1A60-479D-A0AD-D7EF4EC54AC1}" name="Bus " totalsRowFunction="sum" dataDxfId="432" totalsRowDxfId="431"/>
    <tableColumn id="5" xr3:uid="{6B5502DB-CF42-4576-ADF9-FEE46319A35B}" name="Cab" totalsRowFunction="sum" dataDxfId="430" totalsRowDxfId="429"/>
    <tableColumn id="6" xr3:uid="{C9ECD897-5961-4E5A-AAC2-6E58679CFD72}" name="GMR" totalsRowFunction="sum" dataDxfId="428" totalsRowDxfId="427"/>
    <tableColumn id="7" xr3:uid="{96E50596-81A3-437C-B207-ADCB8E3BB13F}" name="Public Entity" totalsRowFunction="sum" dataDxfId="426" totalsRowDxfId="425"/>
    <tableColumn id="8" xr3:uid="{54D63943-5009-450F-9042-700FBDD166C7}" name="Stretcher" totalsRowFunction="sum" dataDxfId="424" totalsRowDxfId="423"/>
    <tableColumn id="9" xr3:uid="{42F8B457-3304-47D1-991C-7E2DDDC48554}" name="TNC Vendor" totalsRowFunction="sum" dataDxfId="422" totalsRowDxfId="421"/>
    <tableColumn id="10" xr3:uid="{21CB2FF9-DB4B-4BF2-B276-28B2E39454D1}" name="Wheelchair" totalsRowFunction="sum" dataDxfId="420" totalsRowDxfId="419"/>
    <tableColumn id="11" xr3:uid="{EF59E52D-840B-4C6F-B346-8F51E7573BB7}" name="Total" totalsRowFunction="sum" dataDxfId="418" totalsRowDxfId="417">
      <calculatedColumnFormula>SUM(Table67677174132025[[#This Row],[Bus ]:[Wheelchair]])</calculatedColumnFormula>
    </tableColumn>
  </tableColumns>
  <tableStyleInfo name="TableStyleMedium16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6FD9E649-FECE-4859-ACE4-B9A870BF1B16}" name="Table6767697275142126" displayName="Table6767697275142126" ref="M208:V231" totalsRowCount="1" headerRowDxfId="416" dataDxfId="414" totalsRowDxfId="412" headerRowBorderDxfId="415" tableBorderDxfId="413" totalsRowBorderDxfId="411">
  <autoFilter ref="M208:V230" xr:uid="{6FD9E649-FECE-4859-ACE4-B9A870BF1B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84BD71B5-6AA9-467F-99E1-543C198FE746}" name="Pick Up County" totalsRowLabel="Total" dataDxfId="410" totalsRowDxfId="409"/>
    <tableColumn id="3" xr3:uid="{C8BE3711-BCB3-43E1-B980-EDC4F19096A3}" name="State" dataDxfId="408" totalsRowDxfId="407"/>
    <tableColumn id="4" xr3:uid="{2F6DFE29-80E0-4838-BB6F-C1F69A7D2DD9}" name="Bus " totalsRowFunction="sum" dataDxfId="406" totalsRowDxfId="405"/>
    <tableColumn id="5" xr3:uid="{9B63CD79-E9D5-41E7-947D-603FD5531BAD}" name="Cab" totalsRowFunction="sum" dataDxfId="404" totalsRowDxfId="403"/>
    <tableColumn id="6" xr3:uid="{1092F6BB-C042-422A-BF56-2711D1E4EE32}" name="GMR" totalsRowFunction="sum" dataDxfId="402" totalsRowDxfId="401"/>
    <tableColumn id="7" xr3:uid="{00F8AC24-7C7F-4ED5-A7BA-E11C04A6D7D5}" name="Public Entity" totalsRowFunction="sum" dataDxfId="400" totalsRowDxfId="399"/>
    <tableColumn id="8" xr3:uid="{89FA9698-1D37-470A-AE3D-0B5B76D2933C}" name="Stretcher" totalsRowFunction="sum" dataDxfId="398" totalsRowDxfId="397"/>
    <tableColumn id="9" xr3:uid="{4B6447AD-4FE8-4E6A-9785-86235D3892C4}" name="TNC Vendor" totalsRowFunction="sum" dataDxfId="396" totalsRowDxfId="395"/>
    <tableColumn id="10" xr3:uid="{080B32BC-829A-48CF-AE45-401CAC341D6D}" name="Wheelchair" totalsRowFunction="sum" dataDxfId="394" totalsRowDxfId="393"/>
    <tableColumn id="11" xr3:uid="{4E74AB47-4069-424E-87B9-2C884BD1C245}" name="Total" totalsRowFunction="sum" dataDxfId="392" totalsRowDxfId="391">
      <calculatedColumnFormula>SUM(Table6767697275142126[[#This Row],[Bus ]:[Wheelchair]])</calculatedColumnFormula>
    </tableColumn>
  </tableColumns>
  <tableStyleInfo name="TableStyleMedium16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CBFF5A6F-B8BF-4F7A-96BE-BF7C53DF8707}" name="Table6767717413202527" displayName="Table6767717413202527" ref="B236:K270" totalsRowCount="1" headerRowDxfId="390" dataDxfId="388" totalsRowDxfId="386" headerRowBorderDxfId="389" tableBorderDxfId="387" totalsRowBorderDxfId="385">
  <autoFilter ref="B236:K269" xr:uid="{CBFF5A6F-B8BF-4F7A-96BE-BF7C53DF870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AC8941ED-B271-4698-8E5F-76246577EA79}" name="Pick Up County" totalsRowLabel="Total" dataDxfId="384" totalsRowDxfId="383"/>
    <tableColumn id="3" xr3:uid="{E37D7637-31A7-49A8-9038-1EA3C8AA26D6}" name="State" dataDxfId="382" totalsRowDxfId="381"/>
    <tableColumn id="4" xr3:uid="{8AB45767-27CA-48A5-B226-A3E70ADF7E5A}" name="Bus " totalsRowFunction="sum" dataDxfId="380" totalsRowDxfId="379"/>
    <tableColumn id="5" xr3:uid="{F98DB08C-A99C-4589-A57C-1454CFAB754A}" name="Cab" totalsRowFunction="sum" dataDxfId="378" totalsRowDxfId="377"/>
    <tableColumn id="6" xr3:uid="{A3E6EA95-46B5-48EE-A03C-3524D2BA1FE8}" name="GMR" totalsRowFunction="sum" dataDxfId="376" totalsRowDxfId="375"/>
    <tableColumn id="7" xr3:uid="{331D0012-4FDD-4667-866B-D4F2CB022BAC}" name="Public Entity" totalsRowFunction="sum" dataDxfId="374" totalsRowDxfId="373"/>
    <tableColumn id="8" xr3:uid="{C99B4AAE-0694-4BC6-BD26-4D42ADA4243F}" name="Stretcher" totalsRowFunction="sum" dataDxfId="372" totalsRowDxfId="371"/>
    <tableColumn id="9" xr3:uid="{8DE7032F-F0E2-446A-B123-5D5744DE305A}" name="TNC Vendor" totalsRowFunction="sum" dataDxfId="370" totalsRowDxfId="369"/>
    <tableColumn id="10" xr3:uid="{D8A7814B-81D3-4572-A4B0-E491CCCB771D}" name="Wheelchair" totalsRowFunction="sum" dataDxfId="368" totalsRowDxfId="367"/>
    <tableColumn id="11" xr3:uid="{798E494B-577C-4B12-A9E5-A63AF3299B35}" name="Total" totalsRowFunction="sum" dataDxfId="366" totalsRowDxfId="365">
      <calculatedColumnFormula>SUM(Table6767717413202527[[#This Row],[Bus ]:[Wheelchair]])</calculatedColumnFormula>
    </tableColumn>
  </tableColumns>
  <tableStyleInfo name="TableStyleMedium16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E06BE957-1ACE-4A91-BF90-4C04445D9A8A}" name="Table676769727514212631" displayName="Table676769727514212631" ref="M236:V263" totalsRowCount="1" headerRowDxfId="364" dataDxfId="362" totalsRowDxfId="360" headerRowBorderDxfId="363" tableBorderDxfId="361" totalsRowBorderDxfId="359">
  <autoFilter ref="M236:V262" xr:uid="{E06BE957-1ACE-4A91-BF90-4C04445D9A8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D379E32E-8BC6-4C20-8647-578A87CD9EA8}" name="Pick Up County" totalsRowLabel="Total" dataDxfId="358" totalsRowDxfId="357"/>
    <tableColumn id="3" xr3:uid="{1E995024-2459-417F-B10B-ABB729AFEC40}" name="State" dataDxfId="356" totalsRowDxfId="355"/>
    <tableColumn id="4" xr3:uid="{BE33F98A-3BA9-435D-8C98-2A8598B09BC5}" name="Bus " totalsRowFunction="sum" dataDxfId="354" totalsRowDxfId="353"/>
    <tableColumn id="5" xr3:uid="{F5E86149-1379-4CA2-BF75-0560EF6F0038}" name="Cab" totalsRowFunction="sum" dataDxfId="352" totalsRowDxfId="351"/>
    <tableColumn id="6" xr3:uid="{15F3CE91-E2AD-4CE7-81C7-BE2AE7E928F3}" name="GMR" totalsRowFunction="sum" dataDxfId="350" totalsRowDxfId="349"/>
    <tableColumn id="7" xr3:uid="{8596D484-F5CE-461C-A66B-7498910A2709}" name="Public Entity" totalsRowFunction="sum" dataDxfId="348" totalsRowDxfId="347"/>
    <tableColumn id="8" xr3:uid="{F6222167-4DE8-4899-8ADE-CB45A4AD94D8}" name="Stretcher" totalsRowFunction="sum" dataDxfId="346" totalsRowDxfId="345"/>
    <tableColumn id="9" xr3:uid="{D8B81E81-82BB-41B9-B885-F70DFCF48BB3}" name="TNC Vendor" totalsRowFunction="sum" dataDxfId="344" totalsRowDxfId="343"/>
    <tableColumn id="10" xr3:uid="{0C369279-E5D7-4912-BA04-450BF504018D}" name="Wheelchair" totalsRowFunction="sum" dataDxfId="342" totalsRowDxfId="341"/>
    <tableColumn id="11" xr3:uid="{6AC79126-1636-4C8F-844D-E553A04028B7}" name="Total" totalsRowFunction="sum" dataDxfId="340" totalsRowDxfId="339">
      <calculatedColumnFormula>SUM(Table676769727514212631[[#This Row],[Bus ]:[Wheelchair]])</calculatedColumnFormula>
    </tableColumn>
  </tableColumns>
  <tableStyleInfo name="TableStyleMedium16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AAA7EA64-54E0-4F09-B384-E0B93F53BA64}" name="Table676771741320252737" displayName="Table676771741320252737" ref="B275:K303" totalsRowCount="1" headerRowDxfId="338" dataDxfId="336" totalsRowDxfId="334" headerRowBorderDxfId="337" tableBorderDxfId="335" totalsRowBorderDxfId="333">
  <autoFilter ref="B275:K302" xr:uid="{AAA7EA64-54E0-4F09-B384-E0B93F53BA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6441327D-1D4D-4466-A166-DA81E8728B6D}" name="Pick Up County" totalsRowLabel="Total" dataDxfId="332" totalsRowDxfId="331"/>
    <tableColumn id="3" xr3:uid="{AF30FE40-D259-4B14-84A9-35C70D2496E9}" name="State" dataDxfId="330" totalsRowDxfId="329"/>
    <tableColumn id="4" xr3:uid="{D67102CB-741E-463D-9BA5-E90ED928767E}" name="Bus " totalsRowFunction="sum" dataDxfId="328" totalsRowDxfId="327"/>
    <tableColumn id="5" xr3:uid="{CEE8522C-14FD-42BB-96B8-D9219741C4E9}" name="Cab" totalsRowFunction="sum" dataDxfId="326" totalsRowDxfId="325"/>
    <tableColumn id="6" xr3:uid="{9BC8798F-0D17-4B63-98B1-DA6C06C3624F}" name="GMR" totalsRowFunction="sum" dataDxfId="324" totalsRowDxfId="323"/>
    <tableColumn id="7" xr3:uid="{25ACEF2C-5C08-49AE-A6FE-304B5641C18D}" name="Public Entity" totalsRowFunction="sum" dataDxfId="322" totalsRowDxfId="321"/>
    <tableColumn id="8" xr3:uid="{DE14CED2-DC23-405A-868F-E6A8A429AE04}" name="Stretcher" totalsRowFunction="sum" dataDxfId="320" totalsRowDxfId="319"/>
    <tableColumn id="9" xr3:uid="{D27B49B7-9F35-45BE-AA89-CD84B0ECCF37}" name="TNC Vendor" totalsRowFunction="sum" dataDxfId="318" totalsRowDxfId="317"/>
    <tableColumn id="10" xr3:uid="{72C26536-0D8E-4AD1-A24C-7ED5DC2ECC26}" name="Wheelchair" totalsRowFunction="sum" dataDxfId="316" totalsRowDxfId="315"/>
    <tableColumn id="11" xr3:uid="{D97F2913-887C-42E3-ADD8-54E71E3B2171}" name="Total" totalsRowFunction="sum" dataDxfId="314" totalsRowDxfId="313">
      <calculatedColumnFormula>SUM(Table676771741320252737[[#This Row],[Bus ]:[Wheelchair]])</calculatedColumnFormula>
    </tableColumn>
  </tableColumns>
  <tableStyleInfo name="TableStyleMedium16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83F70B74-9CFF-4C86-95CB-23A17B1269AE}" name="Table67676972751421263138" displayName="Table67676972751421263138" ref="M275:V307" totalsRowCount="1" headerRowDxfId="312" dataDxfId="310" totalsRowDxfId="308" headerRowBorderDxfId="311" tableBorderDxfId="309" totalsRowBorderDxfId="307">
  <autoFilter ref="M275:V306" xr:uid="{83F70B74-9CFF-4C86-95CB-23A17B1269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1F6725F2-F0EB-41F1-ABC2-E3A833F69846}" name="Pick Up County" totalsRowLabel="Total" dataDxfId="306" totalsRowDxfId="305"/>
    <tableColumn id="3" xr3:uid="{88B2A50E-15DF-4FB0-92F8-0CD4745A8127}" name="State" dataDxfId="304" totalsRowDxfId="303"/>
    <tableColumn id="4" xr3:uid="{2DC53179-5B17-4520-B750-BA51D11E72CC}" name="Bus " totalsRowFunction="sum" dataDxfId="302" totalsRowDxfId="301"/>
    <tableColumn id="5" xr3:uid="{9B045F5E-4505-4C45-A6B8-FCFC43909CB8}" name="Cab" totalsRowFunction="sum" dataDxfId="300" totalsRowDxfId="299"/>
    <tableColumn id="6" xr3:uid="{7C3B39FB-E7E8-41FC-8E3F-F8D8FB313AC5}" name="GMR" totalsRowFunction="sum" dataDxfId="298" totalsRowDxfId="297"/>
    <tableColumn id="7" xr3:uid="{614165F7-58FB-4E19-84D8-94F196A33E7D}" name="Public Entity" totalsRowFunction="sum" dataDxfId="296" totalsRowDxfId="295"/>
    <tableColumn id="8" xr3:uid="{CDD17CA5-9D24-4FF7-BBC5-7CEEADA4A9CD}" name="Stretcher" totalsRowFunction="sum" dataDxfId="294" totalsRowDxfId="293"/>
    <tableColumn id="9" xr3:uid="{5B625E64-C586-471C-A6E1-D59FF9027A47}" name="TNC Vendor" totalsRowFunction="sum" dataDxfId="292" totalsRowDxfId="291"/>
    <tableColumn id="10" xr3:uid="{A075E468-DA60-4CE2-AFD4-8CDEEFD6D9EC}" name="Wheelchair" totalsRowFunction="sum" dataDxfId="290" totalsRowDxfId="289"/>
    <tableColumn id="11" xr3:uid="{9B8E6582-4A56-4C3E-83EE-9BAF6352D4D6}" name="Total" totalsRowFunction="sum" dataDxfId="288" totalsRowDxfId="287">
      <calculatedColumnFormula>SUM(Table67676972751421263138[[#This Row],[Bus ]:[Wheelchair]])</calculatedColumnFormula>
    </tableColumn>
  </tableColumns>
  <tableStyleInfo name="TableStyleMedium16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AFE4E496-D22E-4073-B1F0-9BD2CFC8D7DD}" name="Table67677174132025273747" displayName="Table67677174132025273747" ref="B312:K340" totalsRowCount="1" headerRowDxfId="286" dataDxfId="284" totalsRowDxfId="282" headerRowBorderDxfId="285" tableBorderDxfId="283" totalsRowBorderDxfId="281">
  <autoFilter ref="B312:K339" xr:uid="{AFE4E496-D22E-4073-B1F0-9BD2CFC8D7D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9C7A7700-A61D-4764-B573-2468F5C32A87}" name="Pick Up County" totalsRowLabel="Total" dataDxfId="280" totalsRowDxfId="279"/>
    <tableColumn id="3" xr3:uid="{3F174A89-3463-4E80-9C21-FD85FF8CA1BD}" name="State" dataDxfId="278" totalsRowDxfId="277"/>
    <tableColumn id="4" xr3:uid="{A670A556-7FD7-469E-A022-AFEB6D233BA7}" name="Bus " totalsRowFunction="sum" dataDxfId="276" totalsRowDxfId="275"/>
    <tableColumn id="5" xr3:uid="{E66BD6A9-1AD3-4390-916F-05C4BD3A84E9}" name="Cab" totalsRowFunction="sum" dataDxfId="274" totalsRowDxfId="273"/>
    <tableColumn id="6" xr3:uid="{CF076844-D88D-461F-860B-8C95FB0E9352}" name="GMR" totalsRowFunction="sum" dataDxfId="272" totalsRowDxfId="271"/>
    <tableColumn id="7" xr3:uid="{90F767D2-06CB-458D-A41B-3CA5A85B73F9}" name="Public Entity" totalsRowFunction="sum" dataDxfId="270" totalsRowDxfId="269"/>
    <tableColumn id="8" xr3:uid="{2AA75DA4-112A-433D-A32E-C1FE5BA7C796}" name="Stretcher" totalsRowFunction="sum" dataDxfId="268" totalsRowDxfId="267"/>
    <tableColumn id="9" xr3:uid="{3C61A02B-A272-4739-B2C9-748FF7A11E2C}" name="TNC Vendor" totalsRowFunction="sum" dataDxfId="266" totalsRowDxfId="265"/>
    <tableColumn id="10" xr3:uid="{C29F9A72-2517-4E3A-BDAE-A5602177AC86}" name="Wheelchair" totalsRowFunction="sum" dataDxfId="264" totalsRowDxfId="263"/>
    <tableColumn id="11" xr3:uid="{08A6C070-5CC0-43AB-A49E-5243E6C1FF9F}" name="Total" totalsRowFunction="sum" dataDxfId="262" totalsRowDxfId="261">
      <calculatedColumnFormula>SUM(Table67677174132025273747[[#This Row],[Bus ]:[Wheelchair]])</calculatedColumnFormula>
    </tableColumn>
  </tableColumns>
  <tableStyleInfo name="TableStyleMedium16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CCAC2AD7-DE8C-4F52-847D-0A94618FEFAA}" name="Table6767697275142126313848" displayName="Table6767697275142126313848" ref="M312:V340" totalsRowCount="1" headerRowDxfId="260" dataDxfId="258" totalsRowDxfId="256" headerRowBorderDxfId="259" tableBorderDxfId="257" totalsRowBorderDxfId="255">
  <autoFilter ref="M312:V339" xr:uid="{CCAC2AD7-DE8C-4F52-847D-0A94618FEFA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8DDE95A7-86C5-4700-8913-DF45ACCA066E}" name="Pick Up County" totalsRowLabel="Total" dataDxfId="254" totalsRowDxfId="253"/>
    <tableColumn id="3" xr3:uid="{36621ACC-F091-4AA5-A9B3-02FC56DEE750}" name="State" dataDxfId="252" totalsRowDxfId="251"/>
    <tableColumn id="4" xr3:uid="{DE73F764-9D12-4ADB-B175-FBEB1EF3BD41}" name="Bus " totalsRowFunction="sum" dataDxfId="250" totalsRowDxfId="249"/>
    <tableColumn id="5" xr3:uid="{74574E97-A149-4E46-8D95-A758BA74EC1B}" name="Cab" totalsRowFunction="sum" dataDxfId="248" totalsRowDxfId="247"/>
    <tableColumn id="6" xr3:uid="{9182F7D5-EA92-4EE7-91FA-C1F517EA04BB}" name="GMR" totalsRowFunction="sum" dataDxfId="246" totalsRowDxfId="245"/>
    <tableColumn id="7" xr3:uid="{58708DE3-E7CD-4E77-A797-47EF836D0AA7}" name="Public Entity" totalsRowFunction="sum" dataDxfId="244" totalsRowDxfId="243"/>
    <tableColumn id="8" xr3:uid="{D781D7A1-028D-482D-8564-620F1A82BE94}" name="Stretcher" totalsRowFunction="sum" dataDxfId="242" totalsRowDxfId="241"/>
    <tableColumn id="9" xr3:uid="{2F90C31C-24A4-4B5E-A56E-A57D33C2AA09}" name="TNC Vendor" totalsRowFunction="sum" dataDxfId="240" totalsRowDxfId="239"/>
    <tableColumn id="10" xr3:uid="{0D106247-6BAC-4AF1-8D2D-0C095180E884}" name="Wheelchair" totalsRowFunction="sum" dataDxfId="238" totalsRowDxfId="237"/>
    <tableColumn id="11" xr3:uid="{CF724723-E47E-456C-B84B-989663F97984}" name="Total" totalsRowFunction="sum" dataDxfId="236" totalsRowDxfId="235">
      <calculatedColumnFormula>SUM(Table6767697275142126313848[[#This Row],[Bus ]:[Wheelchair]])</calculatedColumnFormula>
    </tableColumn>
  </tableColumns>
  <tableStyleInfo name="TableStyleMedium16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39C989AD-30B9-46D5-98D0-059C778977ED}" name="Table6767717413202527374752" displayName="Table6767717413202527374752" ref="B345:K380" totalsRowCount="1" headerRowDxfId="234" dataDxfId="232" totalsRowDxfId="230" headerRowBorderDxfId="233" tableBorderDxfId="231" totalsRowBorderDxfId="229">
  <autoFilter ref="B345:K379" xr:uid="{39C989AD-30B9-46D5-98D0-059C778977E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5F478D8A-E710-4A18-9E4A-635C7D222BF1}" name="Pick Up County" totalsRowLabel="Total" dataDxfId="228" totalsRowDxfId="227"/>
    <tableColumn id="3" xr3:uid="{6B8BC99E-6197-4D4D-B695-9E100B0A0034}" name="State" dataDxfId="226" totalsRowDxfId="225"/>
    <tableColumn id="4" xr3:uid="{57871935-44D3-400C-8BD8-4DEFDD2E4193}" name="Bus " totalsRowFunction="sum" dataDxfId="224" totalsRowDxfId="223"/>
    <tableColumn id="5" xr3:uid="{CBFAF5FC-4032-4785-95AD-2C9F20B3DB73}" name="Cab" totalsRowFunction="sum" dataDxfId="222" totalsRowDxfId="221"/>
    <tableColumn id="6" xr3:uid="{45ADA58E-DAB4-4047-AEE8-B1B0CFA98A38}" name="GMR" totalsRowFunction="sum" dataDxfId="220" totalsRowDxfId="219"/>
    <tableColumn id="7" xr3:uid="{5D644DC7-C1B2-4936-8FAF-108A6B24266C}" name="Public Entity" totalsRowFunction="sum" dataDxfId="218" totalsRowDxfId="217"/>
    <tableColumn id="8" xr3:uid="{4BB70BFE-1D2A-4860-BD7F-8C4C7CF6560A}" name="Stretcher" totalsRowFunction="sum" dataDxfId="216" totalsRowDxfId="215"/>
    <tableColumn id="9" xr3:uid="{A846B25D-2DF4-4409-9824-03E3E2901B51}" name="TNC Vendor" totalsRowFunction="sum" dataDxfId="214" totalsRowDxfId="213"/>
    <tableColumn id="10" xr3:uid="{4AF03500-8D06-4FD9-887F-A5BDB8ACC6C4}" name="Wheelchair" totalsRowFunction="sum" dataDxfId="212" totalsRowDxfId="211"/>
    <tableColumn id="11" xr3:uid="{B808D3FD-B5FD-4864-AD91-448314629057}" name="Total" totalsRowFunction="sum" dataDxfId="210" totalsRowDxfId="209">
      <calculatedColumnFormula>SUM(Table6767717413202527374752[[#This Row],[Bus ]:[Wheelchair]])</calculatedColumnFormula>
    </tableColumn>
  </tableColumns>
  <tableStyleInfo name="TableStyleMedium16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52A82F26-0BBA-4864-875B-0E4823549149}" name="Table676769727514212631384853" displayName="Table676769727514212631384853" ref="M345:V376" totalsRowCount="1" headerRowDxfId="208" dataDxfId="206" totalsRowDxfId="204" headerRowBorderDxfId="207" tableBorderDxfId="205" totalsRowBorderDxfId="203">
  <autoFilter ref="M345:V375" xr:uid="{52A82F26-0BBA-4864-875B-0E482354914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97484897-FC71-41E6-8381-AA337DF59B83}" name="Pick Up County" totalsRowLabel="Total" dataDxfId="202" totalsRowDxfId="201"/>
    <tableColumn id="3" xr3:uid="{63F660A0-2888-4464-A5EC-DD3F0B0AA0D9}" name="State" dataDxfId="200" totalsRowDxfId="199"/>
    <tableColumn id="4" xr3:uid="{2A1F5AA9-41E8-49EA-A750-102A5589CE87}" name="Bus " totalsRowFunction="sum" dataDxfId="198" totalsRowDxfId="197"/>
    <tableColumn id="5" xr3:uid="{260C9607-0A9D-4289-9677-C8CD160B8230}" name="Cab" totalsRowFunction="sum" dataDxfId="196" totalsRowDxfId="195"/>
    <tableColumn id="6" xr3:uid="{529A5A7D-697A-4DD6-950A-7562BA758239}" name="GMR" totalsRowFunction="sum" dataDxfId="194" totalsRowDxfId="193"/>
    <tableColumn id="7" xr3:uid="{DBFEC9B6-8395-44F8-9CE7-B750C51CB73B}" name="Public Entity" totalsRowFunction="sum" dataDxfId="192" totalsRowDxfId="191"/>
    <tableColumn id="8" xr3:uid="{91589BC9-649D-4064-8D95-7022E631649C}" name="Stretcher" totalsRowFunction="sum" dataDxfId="190" totalsRowDxfId="189"/>
    <tableColumn id="9" xr3:uid="{C9BE26CA-47D3-4D90-A087-A7DABE9C65F3}" name="TNC Vendor" totalsRowFunction="sum" dataDxfId="188" totalsRowDxfId="187"/>
    <tableColumn id="10" xr3:uid="{BEC387E5-34E6-459C-8914-02764B61639B}" name="Wheelchair" totalsRowFunction="sum" dataDxfId="186" totalsRowDxfId="185"/>
    <tableColumn id="11" xr3:uid="{A42CED55-9685-4CD1-9DED-9DC4EFE1F0EA}" name="Total" totalsRowFunction="sum" dataDxfId="184" totalsRowDxfId="183">
      <calculatedColumnFormula>SUM(Table676769727514212631384853[[#This Row],[Bus ]:[Wheelchair]])</calculatedColumnFormula>
    </tableColumn>
  </tableColumns>
  <tableStyleInfo name="TableStyleMedium16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5AD57991-ADF9-4FBF-9655-077B8011B130}" name="Table676771741320252737475254" displayName="Table676771741320252737475254" ref="B385:K421" totalsRowCount="1" headerRowDxfId="182" dataDxfId="180" totalsRowDxfId="178" headerRowBorderDxfId="181" tableBorderDxfId="179" totalsRowBorderDxfId="177">
  <autoFilter ref="B385:K420" xr:uid="{5AD57991-ADF9-4FBF-9655-077B8011B13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EEE846B4-269A-484A-8A29-7FC26CB345E7}" name="Pick Up County" totalsRowLabel="Total" dataDxfId="176" totalsRowDxfId="175"/>
    <tableColumn id="3" xr3:uid="{D3B214CD-1B18-40A5-8301-9D51595F5A13}" name="State" dataDxfId="174" totalsRowDxfId="173"/>
    <tableColumn id="4" xr3:uid="{29BC1879-B72E-471A-92F5-2FFAA74347A1}" name="Bus " totalsRowFunction="sum" dataDxfId="172" totalsRowDxfId="171"/>
    <tableColumn id="5" xr3:uid="{B910BA51-C49B-44BC-8080-D9F78BD498B9}" name="Cab" totalsRowFunction="sum" dataDxfId="170" totalsRowDxfId="169"/>
    <tableColumn id="6" xr3:uid="{E3C95309-3467-46D8-AA1A-162ADB15F55F}" name="GMR" totalsRowFunction="sum" dataDxfId="168" totalsRowDxfId="167"/>
    <tableColumn id="7" xr3:uid="{C4C6CFAF-8816-47F8-A0FB-8AF870932FAC}" name="Public Entity" totalsRowFunction="sum" dataDxfId="166" totalsRowDxfId="165"/>
    <tableColumn id="8" xr3:uid="{FB6FE17D-57EC-4068-A041-CCD81854F75A}" name="Stretcher" totalsRowFunction="sum" dataDxfId="164" totalsRowDxfId="163"/>
    <tableColumn id="9" xr3:uid="{BE841C6E-2DFA-42BB-B745-A76E6DB9CB18}" name="TNC Vendor" totalsRowFunction="sum" dataDxfId="162" totalsRowDxfId="161"/>
    <tableColumn id="10" xr3:uid="{5C762609-88FA-4154-AA3A-E3378E513195}" name="Wheelchair" totalsRowFunction="sum" dataDxfId="160" totalsRowDxfId="159"/>
    <tableColumn id="11" xr3:uid="{C0AD724C-FF4C-438C-93E1-E6D7153D0E5B}" name="Total" totalsRowFunction="sum" dataDxfId="158" totalsRowDxfId="157">
      <calculatedColumnFormula>SUM(Table676771741320252737475254[[#This Row],[Bus ]:[Wheelchair]])</calculatedColumnFormula>
    </tableColumn>
  </tableColumns>
  <tableStyleInfo name="TableStyleMedium16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393A2CCB-24DC-4D8B-9EBB-3C815B0E78E9}" name="Table67676972751421263138485355" displayName="Table67676972751421263138485355" ref="M385:V421" totalsRowCount="1" headerRowDxfId="156" dataDxfId="154" totalsRowDxfId="152" headerRowBorderDxfId="155" tableBorderDxfId="153" totalsRowBorderDxfId="151">
  <autoFilter ref="M385:V420" xr:uid="{393A2CCB-24DC-4D8B-9EBB-3C815B0E78E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5994EFA7-D73A-44B4-A47D-198F3D07824C}" name="Pick Up County" totalsRowLabel="Total" dataDxfId="150" totalsRowDxfId="149"/>
    <tableColumn id="3" xr3:uid="{9B5AC86F-48BD-465C-B085-C56AD00FD16B}" name="State" dataDxfId="148" totalsRowDxfId="147"/>
    <tableColumn id="4" xr3:uid="{B6E1F7BE-00EB-4883-9E1D-F8DD7445E76E}" name="Bus " totalsRowFunction="sum" dataDxfId="146" totalsRowDxfId="145"/>
    <tableColumn id="5" xr3:uid="{BFF1F16A-A017-4B02-8EAE-9BCE0E41CFFC}" name="Cab" totalsRowFunction="sum" dataDxfId="144" totalsRowDxfId="143"/>
    <tableColumn id="6" xr3:uid="{9E93865E-F34B-462F-9C11-889E1B76676E}" name="GMR" totalsRowFunction="sum" dataDxfId="142" totalsRowDxfId="141"/>
    <tableColumn id="7" xr3:uid="{A8C6BF8B-CD3A-442E-8016-0E2F5815D767}" name="Public Entity" totalsRowFunction="sum" dataDxfId="140" totalsRowDxfId="139"/>
    <tableColumn id="8" xr3:uid="{7783A713-1F41-4402-902C-375B7D022819}" name="Stretcher" totalsRowFunction="sum" dataDxfId="138" totalsRowDxfId="137"/>
    <tableColumn id="9" xr3:uid="{CDC792D7-1CE2-4B64-B97A-5F3FDCE87235}" name="TNC Vendor" totalsRowFunction="sum" dataDxfId="136" totalsRowDxfId="135"/>
    <tableColumn id="10" xr3:uid="{1C5D9CA8-CB15-4112-B0BB-E195E69C886F}" name="Wheelchair" totalsRowFunction="sum" dataDxfId="134" totalsRowDxfId="133"/>
    <tableColumn id="11" xr3:uid="{7DFDC6C7-54D8-412C-ACC4-2F18696ED9FA}" name="Total" totalsRowFunction="sum" dataDxfId="132" totalsRowDxfId="131">
      <calculatedColumnFormula>SUM(Table67676972751421263138485355[[#This Row],[Bus ]:[Wheelchair]])</calculatedColumnFormula>
    </tableColumn>
  </tableColumns>
  <tableStyleInfo name="TableStyleMedium16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FEC5B3C0-0FD5-4D13-A76A-2338EE66BD17}" name="Table67677174132025273747525456" displayName="Table67677174132025273747525456" ref="B426:K451" totalsRowCount="1" headerRowDxfId="130" dataDxfId="128" totalsRowDxfId="126" headerRowBorderDxfId="129" tableBorderDxfId="127" totalsRowBorderDxfId="125">
  <autoFilter ref="B426:K450" xr:uid="{FEC5B3C0-0FD5-4D13-A76A-2338EE66BD1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F6733BBC-3CDF-495C-A9F6-B4A396A23B69}" name="Pick Up County" totalsRowLabel="Total" dataDxfId="124" totalsRowCellStyle="Normal"/>
    <tableColumn id="3" xr3:uid="{23D0CDEE-D4FE-4802-9DC5-DC7EFC85C4F7}" name="State" dataDxfId="123" totalsRowCellStyle="Normal"/>
    <tableColumn id="4" xr3:uid="{578C2E2F-B5E5-4E1B-BA51-386CF5A148B4}" name="Bus " totalsRowFunction="sum" dataDxfId="122" totalsRowCellStyle="Normal"/>
    <tableColumn id="5" xr3:uid="{6755B7EC-5A8E-4950-85AA-424D0902E1C5}" name="Cab" totalsRowFunction="sum" dataDxfId="121" totalsRowCellStyle="Normal"/>
    <tableColumn id="6" xr3:uid="{5A0F1B4F-8DEF-4880-ACE4-7507DD25CA38}" name="GMR" totalsRowFunction="sum" dataDxfId="120" totalsRowCellStyle="Normal"/>
    <tableColumn id="7" xr3:uid="{0BF73D5F-BD2D-4ACB-84B0-DA116F1C3C0F}" name="Public Entity" totalsRowFunction="sum" dataDxfId="119" totalsRowCellStyle="Normal"/>
    <tableColumn id="8" xr3:uid="{64F28807-866C-459E-978B-88D9B7936050}" name="Stretcher" totalsRowFunction="sum" dataDxfId="118" totalsRowCellStyle="Normal"/>
    <tableColumn id="9" xr3:uid="{C458E774-4D66-4B57-908E-A2F6848BA30F}" name="TNC Vendor" totalsRowFunction="sum" dataDxfId="117" totalsRowCellStyle="Normal"/>
    <tableColumn id="10" xr3:uid="{91BB8FE1-D018-41C1-848E-C853C1DFA4FE}" name="Wheelchair" totalsRowFunction="sum" dataDxfId="116" totalsRowCellStyle="Normal"/>
    <tableColumn id="11" xr3:uid="{D14BC1E1-FA3F-4B1C-A352-0F52D91601FC}" name="Total" totalsRowFunction="sum" dataDxfId="115" totalsRowCellStyle="Normal">
      <calculatedColumnFormula>SUM(Table67677174132025273747525456[[#This Row],[Bus ]:[Wheelchair]])</calculatedColumnFormula>
    </tableColumn>
  </tableColumns>
  <tableStyleInfo name="TableStyleMedium16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57B58AB7-0488-45B8-BD9D-0FD0DFF52B6C}" name="Table6767697275142126313848535557" displayName="Table6767697275142126313848535557" ref="M426:V463" totalsRowCount="1" headerRowDxfId="114" dataDxfId="112" totalsRowDxfId="110" headerRowBorderDxfId="113" tableBorderDxfId="111" totalsRowBorderDxfId="109">
  <autoFilter ref="M426:V462" xr:uid="{57B58AB7-0488-45B8-BD9D-0FD0DFF52B6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A4247431-C70F-4836-8999-2688B48CC314}" name="Pick Up County" totalsRowLabel="Total" totalsRowCellStyle="Normal"/>
    <tableColumn id="3" xr3:uid="{038EACFE-5560-454C-8D82-7789B99F6CEA}" name="State" totalsRowCellStyle="Normal"/>
    <tableColumn id="4" xr3:uid="{51D6E867-A60E-4E6F-91BF-A764199114BB}" name="Bus " totalsRowFunction="sum" totalsRowCellStyle="Normal"/>
    <tableColumn id="5" xr3:uid="{5E4F7D6C-B7B5-4A1D-8496-929E18DAF186}" name="Cab" totalsRowFunction="sum" totalsRowCellStyle="Normal"/>
    <tableColumn id="6" xr3:uid="{3447FAC8-1770-41D0-ACFD-6A57C7A491A7}" name="GMR" totalsRowFunction="sum" totalsRowCellStyle="Normal"/>
    <tableColumn id="7" xr3:uid="{A84CE489-C060-4DB2-AFD6-77042E95C75D}" name="Public Entity" totalsRowFunction="sum" totalsRowCellStyle="Normal"/>
    <tableColumn id="8" xr3:uid="{D2A5AD2F-F4DE-4A61-9F9B-70258DB08C45}" name="Stretcher" totalsRowFunction="sum" totalsRowCellStyle="Normal"/>
    <tableColumn id="9" xr3:uid="{0B1B948D-DD8B-4B7D-8984-452D46A5C559}" name="TNC Vendor" totalsRowFunction="sum" totalsRowCellStyle="Normal"/>
    <tableColumn id="10" xr3:uid="{73095F25-95D1-44DD-9F7F-2F4B85F707FD}" name="Wheelchair" totalsRowFunction="sum" totalsRowCellStyle="Normal"/>
    <tableColumn id="11" xr3:uid="{23EB06C2-4D6F-45F7-B1EF-8310568FFA0E}" name="Total" totalsRowFunction="sum" totalsRowCellStyle="Normal">
      <calculatedColumnFormula>SUM(Table6767697275142126313848535557[[#This Row],[Bus ]:[Wheelchair]])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0.xml"/><Relationship Id="rId13" Type="http://schemas.openxmlformats.org/officeDocument/2006/relationships/table" Target="../tables/table35.xml"/><Relationship Id="rId18" Type="http://schemas.openxmlformats.org/officeDocument/2006/relationships/table" Target="../tables/table40.xml"/><Relationship Id="rId26" Type="http://schemas.openxmlformats.org/officeDocument/2006/relationships/table" Target="../tables/table48.xml"/><Relationship Id="rId3" Type="http://schemas.openxmlformats.org/officeDocument/2006/relationships/table" Target="../tables/table25.xml"/><Relationship Id="rId21" Type="http://schemas.openxmlformats.org/officeDocument/2006/relationships/table" Target="../tables/table43.xml"/><Relationship Id="rId7" Type="http://schemas.openxmlformats.org/officeDocument/2006/relationships/table" Target="../tables/table29.xml"/><Relationship Id="rId12" Type="http://schemas.openxmlformats.org/officeDocument/2006/relationships/table" Target="../tables/table34.xml"/><Relationship Id="rId17" Type="http://schemas.openxmlformats.org/officeDocument/2006/relationships/table" Target="../tables/table39.xml"/><Relationship Id="rId25" Type="http://schemas.openxmlformats.org/officeDocument/2006/relationships/table" Target="../tables/table47.xml"/><Relationship Id="rId2" Type="http://schemas.openxmlformats.org/officeDocument/2006/relationships/drawing" Target="../drawings/drawing2.xml"/><Relationship Id="rId16" Type="http://schemas.openxmlformats.org/officeDocument/2006/relationships/table" Target="../tables/table38.xml"/><Relationship Id="rId20" Type="http://schemas.openxmlformats.org/officeDocument/2006/relationships/table" Target="../tables/table4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8.xml"/><Relationship Id="rId11" Type="http://schemas.openxmlformats.org/officeDocument/2006/relationships/table" Target="../tables/table33.xml"/><Relationship Id="rId24" Type="http://schemas.openxmlformats.org/officeDocument/2006/relationships/table" Target="../tables/table46.xml"/><Relationship Id="rId5" Type="http://schemas.openxmlformats.org/officeDocument/2006/relationships/table" Target="../tables/table27.xml"/><Relationship Id="rId15" Type="http://schemas.openxmlformats.org/officeDocument/2006/relationships/table" Target="../tables/table37.xml"/><Relationship Id="rId23" Type="http://schemas.openxmlformats.org/officeDocument/2006/relationships/table" Target="../tables/table45.xml"/><Relationship Id="rId10" Type="http://schemas.openxmlformats.org/officeDocument/2006/relationships/table" Target="../tables/table32.xml"/><Relationship Id="rId19" Type="http://schemas.openxmlformats.org/officeDocument/2006/relationships/table" Target="../tables/table41.xml"/><Relationship Id="rId4" Type="http://schemas.openxmlformats.org/officeDocument/2006/relationships/table" Target="../tables/table26.xml"/><Relationship Id="rId9" Type="http://schemas.openxmlformats.org/officeDocument/2006/relationships/table" Target="../tables/table31.xml"/><Relationship Id="rId14" Type="http://schemas.openxmlformats.org/officeDocument/2006/relationships/table" Target="../tables/table36.xml"/><Relationship Id="rId22" Type="http://schemas.openxmlformats.org/officeDocument/2006/relationships/table" Target="../tables/table4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6408E-3EA2-4066-9C1E-3CB80FB8BC73}">
  <dimension ref="B18:W293"/>
  <sheetViews>
    <sheetView showGridLines="0" tabSelected="1" zoomScale="70" zoomScaleNormal="70" workbookViewId="0">
      <selection activeCell="K14" sqref="K14"/>
    </sheetView>
  </sheetViews>
  <sheetFormatPr defaultColWidth="9.109375" defaultRowHeight="16.8" x14ac:dyDescent="0.4"/>
  <cols>
    <col min="1" max="1" width="9.109375" style="2"/>
    <col min="2" max="2" width="24.5546875" style="2" bestFit="1" customWidth="1"/>
    <col min="3" max="3" width="12.33203125" style="2" hidden="1" customWidth="1"/>
    <col min="4" max="6" width="10" style="2" bestFit="1" customWidth="1"/>
    <col min="7" max="7" width="20.44140625" style="2" bestFit="1" customWidth="1"/>
    <col min="8" max="8" width="15.6640625" style="2" bestFit="1" customWidth="1"/>
    <col min="9" max="9" width="19.5546875" style="2" bestFit="1" customWidth="1"/>
    <col min="10" max="10" width="18.5546875" style="2" bestFit="1" customWidth="1"/>
    <col min="11" max="11" width="11.5546875" style="2" bestFit="1" customWidth="1"/>
    <col min="12" max="13" width="9.109375" style="2"/>
    <col min="14" max="14" width="24.5546875" style="2" bestFit="1" customWidth="1"/>
    <col min="15" max="15" width="12.33203125" style="2" hidden="1" customWidth="1"/>
    <col min="16" max="17" width="10" style="2" bestFit="1" customWidth="1"/>
    <col min="18" max="18" width="9" style="2" bestFit="1" customWidth="1"/>
    <col min="19" max="19" width="20.44140625" style="2" bestFit="1" customWidth="1"/>
    <col min="20" max="20" width="15.6640625" style="2" bestFit="1" customWidth="1"/>
    <col min="21" max="21" width="19.5546875" style="2" bestFit="1" customWidth="1"/>
    <col min="22" max="22" width="18.5546875" style="2" bestFit="1" customWidth="1"/>
    <col min="23" max="23" width="11.5546875" style="2" bestFit="1" customWidth="1"/>
    <col min="24" max="16384" width="9.109375" style="2"/>
  </cols>
  <sheetData>
    <row r="18" spans="2:23" ht="19.2" x14ac:dyDescent="0.45">
      <c r="B18" s="34">
        <v>45292</v>
      </c>
      <c r="C18" s="34"/>
      <c r="D18" s="34"/>
      <c r="E18" s="35" t="s">
        <v>208</v>
      </c>
      <c r="F18" s="35"/>
      <c r="G18" s="35"/>
      <c r="H18" s="35"/>
      <c r="I18" s="35"/>
      <c r="J18" s="35"/>
      <c r="K18" s="35"/>
      <c r="L18" s="1"/>
      <c r="M18" s="1"/>
      <c r="N18" s="36">
        <v>45658</v>
      </c>
      <c r="O18" s="36"/>
      <c r="P18" s="36"/>
      <c r="Q18" s="37" t="s">
        <v>22</v>
      </c>
      <c r="R18" s="37"/>
      <c r="S18" s="37"/>
      <c r="T18" s="37"/>
      <c r="U18" s="37"/>
      <c r="V18" s="37"/>
      <c r="W18" s="37"/>
    </row>
    <row r="19" spans="2:23" ht="19.2" x14ac:dyDescent="0.45">
      <c r="B19" s="34"/>
      <c r="C19" s="34"/>
      <c r="D19" s="34"/>
      <c r="E19" s="35"/>
      <c r="F19" s="35"/>
      <c r="G19" s="35"/>
      <c r="H19" s="35"/>
      <c r="I19" s="35"/>
      <c r="J19" s="35"/>
      <c r="K19" s="35"/>
      <c r="L19" s="1"/>
      <c r="M19" s="1"/>
      <c r="N19" s="36"/>
      <c r="O19" s="36"/>
      <c r="P19" s="36"/>
      <c r="Q19" s="37"/>
      <c r="R19" s="37"/>
      <c r="S19" s="37"/>
      <c r="T19" s="37"/>
      <c r="U19" s="37"/>
      <c r="V19" s="37"/>
      <c r="W19" s="37"/>
    </row>
    <row r="20" spans="2:23" s="14" customFormat="1" ht="20.399999999999999" x14ac:dyDescent="0.45">
      <c r="B20" s="13" t="s">
        <v>23</v>
      </c>
      <c r="C20" s="13" t="s">
        <v>24</v>
      </c>
      <c r="D20" s="13" t="s">
        <v>25</v>
      </c>
      <c r="E20" s="13" t="s">
        <v>0</v>
      </c>
      <c r="F20" s="13" t="s">
        <v>26</v>
      </c>
      <c r="G20" s="13" t="s">
        <v>27</v>
      </c>
      <c r="H20" s="13" t="s">
        <v>1</v>
      </c>
      <c r="I20" s="13" t="s">
        <v>2</v>
      </c>
      <c r="J20" s="13" t="s">
        <v>3</v>
      </c>
      <c r="K20" s="13" t="s">
        <v>20</v>
      </c>
      <c r="L20" s="1"/>
      <c r="M20" s="1"/>
      <c r="N20" s="13" t="s">
        <v>23</v>
      </c>
      <c r="O20" s="13" t="s">
        <v>24</v>
      </c>
      <c r="P20" s="13" t="s">
        <v>25</v>
      </c>
      <c r="Q20" s="13" t="s">
        <v>0</v>
      </c>
      <c r="R20" s="13" t="s">
        <v>26</v>
      </c>
      <c r="S20" s="13" t="s">
        <v>27</v>
      </c>
      <c r="T20" s="13" t="s">
        <v>1</v>
      </c>
      <c r="U20" s="13" t="s">
        <v>2</v>
      </c>
      <c r="V20" s="13" t="s">
        <v>3</v>
      </c>
      <c r="W20" s="13" t="s">
        <v>20</v>
      </c>
    </row>
    <row r="21" spans="2:23" ht="19.2" x14ac:dyDescent="0.45">
      <c r="B21" s="8" t="s">
        <v>4</v>
      </c>
      <c r="C21" s="8" t="s">
        <v>28</v>
      </c>
      <c r="D21" s="8">
        <v>9</v>
      </c>
      <c r="E21" s="8">
        <v>676</v>
      </c>
      <c r="F21" s="8">
        <v>267</v>
      </c>
      <c r="G21" s="8">
        <v>247</v>
      </c>
      <c r="H21" s="8">
        <v>4</v>
      </c>
      <c r="I21" s="8">
        <v>218</v>
      </c>
      <c r="J21" s="8">
        <v>113</v>
      </c>
      <c r="K21" s="11">
        <f>SUM(Table6[[#This Row],[Bus ]:[Wheelchair]])</f>
        <v>1534</v>
      </c>
      <c r="L21" s="1"/>
      <c r="M21" s="1"/>
      <c r="N21" s="8" t="s">
        <v>4</v>
      </c>
      <c r="O21" s="8" t="s">
        <v>28</v>
      </c>
      <c r="P21" s="8">
        <v>3</v>
      </c>
      <c r="Q21" s="8">
        <v>725</v>
      </c>
      <c r="R21" s="8">
        <v>140</v>
      </c>
      <c r="S21" s="8">
        <v>602</v>
      </c>
      <c r="T21" s="8">
        <v>0</v>
      </c>
      <c r="U21" s="8">
        <v>15</v>
      </c>
      <c r="V21" s="8">
        <v>53</v>
      </c>
      <c r="W21" s="11">
        <f>SUM(Table7[[#This Row],[Bus ]:[Wheelchair]])</f>
        <v>1538</v>
      </c>
    </row>
    <row r="22" spans="2:23" ht="19.2" x14ac:dyDescent="0.45">
      <c r="B22" s="8" t="s">
        <v>5</v>
      </c>
      <c r="C22" s="8" t="s">
        <v>28</v>
      </c>
      <c r="D22" s="8">
        <v>0</v>
      </c>
      <c r="E22" s="8">
        <v>206</v>
      </c>
      <c r="F22" s="8">
        <v>158</v>
      </c>
      <c r="G22" s="8">
        <v>1</v>
      </c>
      <c r="H22" s="8">
        <v>0</v>
      </c>
      <c r="I22" s="8">
        <v>94</v>
      </c>
      <c r="J22" s="8">
        <v>11</v>
      </c>
      <c r="K22" s="11">
        <f>SUM(Table6[[#This Row],[Bus ]:[Wheelchair]])</f>
        <v>470</v>
      </c>
      <c r="L22" s="1"/>
      <c r="M22" s="1"/>
      <c r="N22" s="8" t="s">
        <v>5</v>
      </c>
      <c r="O22" s="8" t="s">
        <v>28</v>
      </c>
      <c r="P22" s="8">
        <v>0</v>
      </c>
      <c r="Q22" s="8">
        <v>388</v>
      </c>
      <c r="R22" s="8">
        <v>146</v>
      </c>
      <c r="S22" s="8">
        <v>0</v>
      </c>
      <c r="T22" s="8">
        <v>5</v>
      </c>
      <c r="U22" s="8">
        <v>6</v>
      </c>
      <c r="V22" s="8">
        <v>0</v>
      </c>
      <c r="W22" s="11">
        <f>SUM(Table7[[#This Row],[Bus ]:[Wheelchair]])</f>
        <v>545</v>
      </c>
    </row>
    <row r="23" spans="2:23" ht="19.2" x14ac:dyDescent="0.45">
      <c r="B23" s="8" t="s">
        <v>6</v>
      </c>
      <c r="C23" s="8" t="s">
        <v>28</v>
      </c>
      <c r="D23" s="8">
        <v>0</v>
      </c>
      <c r="E23" s="8">
        <v>246</v>
      </c>
      <c r="F23" s="8">
        <v>214</v>
      </c>
      <c r="G23" s="8">
        <v>3</v>
      </c>
      <c r="H23" s="8">
        <v>0</v>
      </c>
      <c r="I23" s="8">
        <v>67</v>
      </c>
      <c r="J23" s="8">
        <v>6</v>
      </c>
      <c r="K23" s="11">
        <f>SUM(Table6[[#This Row],[Bus ]:[Wheelchair]])</f>
        <v>536</v>
      </c>
      <c r="L23" s="1"/>
      <c r="M23" s="1"/>
      <c r="N23" s="8" t="s">
        <v>6</v>
      </c>
      <c r="O23" s="8" t="s">
        <v>28</v>
      </c>
      <c r="P23" s="8">
        <v>0</v>
      </c>
      <c r="Q23" s="8">
        <v>316</v>
      </c>
      <c r="R23" s="8">
        <v>139</v>
      </c>
      <c r="S23" s="8">
        <v>4</v>
      </c>
      <c r="T23" s="8">
        <v>0</v>
      </c>
      <c r="U23" s="8">
        <v>3</v>
      </c>
      <c r="V23" s="8">
        <v>12</v>
      </c>
      <c r="W23" s="11">
        <f>SUM(Table7[[#This Row],[Bus ]:[Wheelchair]])</f>
        <v>474</v>
      </c>
    </row>
    <row r="24" spans="2:23" ht="19.2" x14ac:dyDescent="0.45">
      <c r="B24" s="8" t="s">
        <v>7</v>
      </c>
      <c r="C24" s="8" t="s">
        <v>28</v>
      </c>
      <c r="D24" s="8">
        <v>2</v>
      </c>
      <c r="E24" s="8">
        <v>237</v>
      </c>
      <c r="F24" s="8">
        <v>178</v>
      </c>
      <c r="G24" s="8">
        <v>988</v>
      </c>
      <c r="H24" s="8">
        <v>0</v>
      </c>
      <c r="I24" s="8">
        <v>19</v>
      </c>
      <c r="J24" s="8">
        <v>0</v>
      </c>
      <c r="K24" s="11">
        <f>SUM(Table6[[#This Row],[Bus ]:[Wheelchair]])</f>
        <v>1424</v>
      </c>
      <c r="L24" s="1"/>
      <c r="M24" s="1"/>
      <c r="N24" s="8" t="s">
        <v>7</v>
      </c>
      <c r="O24" s="8" t="s">
        <v>28</v>
      </c>
      <c r="P24" s="8">
        <v>0</v>
      </c>
      <c r="Q24" s="8">
        <v>120</v>
      </c>
      <c r="R24" s="8">
        <v>222</v>
      </c>
      <c r="S24" s="8">
        <v>1025</v>
      </c>
      <c r="T24" s="8">
        <v>0</v>
      </c>
      <c r="U24" s="8">
        <v>8</v>
      </c>
      <c r="V24" s="8">
        <v>0</v>
      </c>
      <c r="W24" s="11">
        <f>SUM(Table7[[#This Row],[Bus ]:[Wheelchair]])</f>
        <v>1375</v>
      </c>
    </row>
    <row r="25" spans="2:23" ht="19.2" x14ac:dyDescent="0.45">
      <c r="B25" s="8" t="s">
        <v>8</v>
      </c>
      <c r="C25" s="8" t="s">
        <v>28</v>
      </c>
      <c r="D25" s="8">
        <v>0</v>
      </c>
      <c r="E25" s="8">
        <v>22</v>
      </c>
      <c r="F25" s="8">
        <v>4</v>
      </c>
      <c r="G25" s="8">
        <v>1</v>
      </c>
      <c r="H25" s="8">
        <v>0</v>
      </c>
      <c r="I25" s="8">
        <v>0</v>
      </c>
      <c r="J25" s="8">
        <v>0</v>
      </c>
      <c r="K25" s="11">
        <f>SUM(Table6[[#This Row],[Bus ]:[Wheelchair]])</f>
        <v>27</v>
      </c>
      <c r="L25" s="1"/>
      <c r="M25" s="1"/>
      <c r="N25" s="8" t="s">
        <v>8</v>
      </c>
      <c r="O25" s="8" t="s">
        <v>28</v>
      </c>
      <c r="P25" s="8">
        <v>0</v>
      </c>
      <c r="Q25" s="8">
        <v>14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11">
        <f>SUM(Table7[[#This Row],[Bus ]:[Wheelchair]])</f>
        <v>14</v>
      </c>
    </row>
    <row r="26" spans="2:23" ht="19.2" x14ac:dyDescent="0.45">
      <c r="B26" s="8" t="s">
        <v>9</v>
      </c>
      <c r="C26" s="8" t="s">
        <v>28</v>
      </c>
      <c r="D26" s="8">
        <v>0</v>
      </c>
      <c r="E26" s="8">
        <v>1</v>
      </c>
      <c r="F26" s="8">
        <v>15</v>
      </c>
      <c r="G26" s="8">
        <v>0</v>
      </c>
      <c r="H26" s="8">
        <v>0</v>
      </c>
      <c r="I26" s="8">
        <v>0</v>
      </c>
      <c r="J26" s="8">
        <v>0</v>
      </c>
      <c r="K26" s="11">
        <f>SUM(Table6[[#This Row],[Bus ]:[Wheelchair]])</f>
        <v>16</v>
      </c>
      <c r="L26" s="1"/>
      <c r="M26" s="1"/>
      <c r="N26" s="8" t="s">
        <v>9</v>
      </c>
      <c r="O26" s="8" t="s">
        <v>28</v>
      </c>
      <c r="P26" s="8">
        <v>0</v>
      </c>
      <c r="Q26" s="8">
        <v>13</v>
      </c>
      <c r="R26" s="8">
        <v>5</v>
      </c>
      <c r="S26" s="8">
        <v>0</v>
      </c>
      <c r="T26" s="8">
        <v>0</v>
      </c>
      <c r="U26" s="8">
        <v>0</v>
      </c>
      <c r="V26" s="8">
        <v>0</v>
      </c>
      <c r="W26" s="11">
        <f>SUM(Table7[[#This Row],[Bus ]:[Wheelchair]])</f>
        <v>18</v>
      </c>
    </row>
    <row r="27" spans="2:23" ht="19.2" x14ac:dyDescent="0.45">
      <c r="B27" s="8" t="s">
        <v>10</v>
      </c>
      <c r="C27" s="8" t="s">
        <v>28</v>
      </c>
      <c r="D27" s="8">
        <v>0</v>
      </c>
      <c r="E27" s="8">
        <v>20</v>
      </c>
      <c r="F27" s="8">
        <v>128</v>
      </c>
      <c r="G27" s="8">
        <v>0</v>
      </c>
      <c r="H27" s="8">
        <v>0</v>
      </c>
      <c r="I27" s="8">
        <v>1</v>
      </c>
      <c r="J27" s="8">
        <v>0</v>
      </c>
      <c r="K27" s="11">
        <f>SUM(Table6[[#This Row],[Bus ]:[Wheelchair]])</f>
        <v>149</v>
      </c>
      <c r="L27" s="1"/>
      <c r="M27" s="1"/>
      <c r="N27" s="8" t="s">
        <v>10</v>
      </c>
      <c r="O27" s="8" t="s">
        <v>28</v>
      </c>
      <c r="P27" s="8">
        <v>0</v>
      </c>
      <c r="Q27" s="8">
        <v>10</v>
      </c>
      <c r="R27" s="8">
        <v>38</v>
      </c>
      <c r="S27" s="8">
        <v>0</v>
      </c>
      <c r="T27" s="8">
        <v>0</v>
      </c>
      <c r="U27" s="8">
        <v>1</v>
      </c>
      <c r="V27" s="8">
        <v>0</v>
      </c>
      <c r="W27" s="11">
        <f>SUM(Table7[[#This Row],[Bus ]:[Wheelchair]])</f>
        <v>49</v>
      </c>
    </row>
    <row r="28" spans="2:23" ht="19.2" x14ac:dyDescent="0.45">
      <c r="B28" s="8" t="s">
        <v>11</v>
      </c>
      <c r="C28" s="8" t="s">
        <v>28</v>
      </c>
      <c r="D28" s="8">
        <v>0</v>
      </c>
      <c r="E28" s="8">
        <v>3</v>
      </c>
      <c r="F28" s="8">
        <v>26</v>
      </c>
      <c r="G28" s="8">
        <v>0</v>
      </c>
      <c r="H28" s="8">
        <v>0</v>
      </c>
      <c r="I28" s="8">
        <v>1</v>
      </c>
      <c r="J28" s="8">
        <v>0</v>
      </c>
      <c r="K28" s="11">
        <f>SUM(Table6[[#This Row],[Bus ]:[Wheelchair]])</f>
        <v>30</v>
      </c>
      <c r="L28" s="1"/>
      <c r="M28" s="1"/>
      <c r="N28" s="8" t="s">
        <v>11</v>
      </c>
      <c r="O28" s="8" t="s">
        <v>28</v>
      </c>
      <c r="P28" s="8">
        <v>0</v>
      </c>
      <c r="Q28" s="8">
        <v>32</v>
      </c>
      <c r="R28" s="8">
        <v>34</v>
      </c>
      <c r="S28" s="8">
        <v>0</v>
      </c>
      <c r="T28" s="8">
        <v>0</v>
      </c>
      <c r="U28" s="8">
        <v>0</v>
      </c>
      <c r="V28" s="8">
        <v>0</v>
      </c>
      <c r="W28" s="11">
        <f>SUM(Table7[[#This Row],[Bus ]:[Wheelchair]])</f>
        <v>66</v>
      </c>
    </row>
    <row r="29" spans="2:23" ht="19.2" x14ac:dyDescent="0.45">
      <c r="B29" s="8" t="s">
        <v>12</v>
      </c>
      <c r="C29" s="8" t="s">
        <v>28</v>
      </c>
      <c r="D29" s="8">
        <v>0</v>
      </c>
      <c r="E29" s="8">
        <v>4</v>
      </c>
      <c r="F29" s="8">
        <v>7</v>
      </c>
      <c r="G29" s="8">
        <v>0</v>
      </c>
      <c r="H29" s="8">
        <v>0</v>
      </c>
      <c r="I29" s="8">
        <v>0</v>
      </c>
      <c r="J29" s="8">
        <v>0</v>
      </c>
      <c r="K29" s="11">
        <f>SUM(Table6[[#This Row],[Bus ]:[Wheelchair]])</f>
        <v>11</v>
      </c>
      <c r="L29" s="1"/>
      <c r="M29" s="1"/>
      <c r="N29" s="8" t="s">
        <v>12</v>
      </c>
      <c r="O29" s="8" t="s">
        <v>28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11">
        <f>SUM(Table7[[#This Row],[Bus ]:[Wheelchair]])</f>
        <v>4</v>
      </c>
    </row>
    <row r="30" spans="2:23" ht="19.2" x14ac:dyDescent="0.45">
      <c r="B30" s="8" t="s">
        <v>13</v>
      </c>
      <c r="C30" s="8" t="s">
        <v>28</v>
      </c>
      <c r="D30" s="8">
        <v>0</v>
      </c>
      <c r="E30" s="8">
        <v>215</v>
      </c>
      <c r="F30" s="8">
        <v>331</v>
      </c>
      <c r="G30" s="8">
        <v>1</v>
      </c>
      <c r="H30" s="8">
        <v>0</v>
      </c>
      <c r="I30" s="8">
        <v>53</v>
      </c>
      <c r="J30" s="8">
        <v>6</v>
      </c>
      <c r="K30" s="11">
        <f>SUM(Table6[[#This Row],[Bus ]:[Wheelchair]])</f>
        <v>606</v>
      </c>
      <c r="L30" s="1"/>
      <c r="M30" s="1"/>
      <c r="N30" s="8" t="s">
        <v>13</v>
      </c>
      <c r="O30" s="8" t="s">
        <v>28</v>
      </c>
      <c r="P30" s="8">
        <v>0</v>
      </c>
      <c r="Q30" s="8">
        <v>374</v>
      </c>
      <c r="R30" s="8">
        <v>273</v>
      </c>
      <c r="S30" s="8">
        <v>1</v>
      </c>
      <c r="T30" s="8">
        <v>0</v>
      </c>
      <c r="U30" s="8">
        <v>19</v>
      </c>
      <c r="V30" s="8">
        <v>7</v>
      </c>
      <c r="W30" s="11">
        <f>SUM(Table7[[#This Row],[Bus ]:[Wheelchair]])</f>
        <v>674</v>
      </c>
    </row>
    <row r="31" spans="2:23" ht="19.2" x14ac:dyDescent="0.45">
      <c r="B31" s="8" t="s">
        <v>14</v>
      </c>
      <c r="C31" s="8" t="s">
        <v>28</v>
      </c>
      <c r="D31" s="8">
        <v>0</v>
      </c>
      <c r="E31" s="8">
        <v>49</v>
      </c>
      <c r="F31" s="8">
        <v>17</v>
      </c>
      <c r="G31" s="8">
        <v>0</v>
      </c>
      <c r="H31" s="8">
        <v>0</v>
      </c>
      <c r="I31" s="8">
        <v>1</v>
      </c>
      <c r="J31" s="8">
        <v>13</v>
      </c>
      <c r="K31" s="11">
        <f>SUM(Table6[[#This Row],[Bus ]:[Wheelchair]])</f>
        <v>80</v>
      </c>
      <c r="L31" s="1"/>
      <c r="M31" s="1"/>
      <c r="N31" s="8" t="s">
        <v>14</v>
      </c>
      <c r="O31" s="8" t="s">
        <v>28</v>
      </c>
      <c r="P31" s="8">
        <v>0</v>
      </c>
      <c r="Q31" s="8">
        <v>58</v>
      </c>
      <c r="R31" s="8">
        <v>3</v>
      </c>
      <c r="S31" s="8">
        <v>1</v>
      </c>
      <c r="T31" s="8">
        <v>0</v>
      </c>
      <c r="U31" s="8">
        <v>0</v>
      </c>
      <c r="V31" s="8">
        <v>4</v>
      </c>
      <c r="W31" s="11">
        <f>SUM(Table7[[#This Row],[Bus ]:[Wheelchair]])</f>
        <v>66</v>
      </c>
    </row>
    <row r="32" spans="2:23" ht="19.2" x14ac:dyDescent="0.45">
      <c r="B32" s="8" t="s">
        <v>15</v>
      </c>
      <c r="C32" s="8" t="s">
        <v>28</v>
      </c>
      <c r="D32" s="8">
        <v>13</v>
      </c>
      <c r="E32" s="8">
        <v>1486</v>
      </c>
      <c r="F32" s="8">
        <v>307</v>
      </c>
      <c r="G32" s="8">
        <v>3</v>
      </c>
      <c r="H32" s="8">
        <v>5</v>
      </c>
      <c r="I32" s="8">
        <v>332</v>
      </c>
      <c r="J32" s="8">
        <v>62</v>
      </c>
      <c r="K32" s="11">
        <f>SUM(Table6[[#This Row],[Bus ]:[Wheelchair]])</f>
        <v>2208</v>
      </c>
      <c r="L32" s="1"/>
      <c r="M32" s="1"/>
      <c r="N32" s="8" t="s">
        <v>15</v>
      </c>
      <c r="O32" s="8" t="s">
        <v>28</v>
      </c>
      <c r="P32" s="8">
        <v>204</v>
      </c>
      <c r="Q32" s="8">
        <v>801</v>
      </c>
      <c r="R32" s="8">
        <v>334</v>
      </c>
      <c r="S32" s="8">
        <v>23</v>
      </c>
      <c r="T32" s="8">
        <v>4</v>
      </c>
      <c r="U32" s="8">
        <v>59</v>
      </c>
      <c r="V32" s="8">
        <v>36</v>
      </c>
      <c r="W32" s="11">
        <f>SUM(Table7[[#This Row],[Bus ]:[Wheelchair]])</f>
        <v>1461</v>
      </c>
    </row>
    <row r="33" spans="2:23" ht="19.2" x14ac:dyDescent="0.45">
      <c r="B33" s="8" t="s">
        <v>16</v>
      </c>
      <c r="C33" s="8" t="s">
        <v>28</v>
      </c>
      <c r="D33" s="8">
        <v>0</v>
      </c>
      <c r="E33" s="8">
        <v>20</v>
      </c>
      <c r="F33" s="8">
        <v>83</v>
      </c>
      <c r="G33" s="8">
        <v>0</v>
      </c>
      <c r="H33" s="8">
        <v>0</v>
      </c>
      <c r="I33" s="8">
        <v>0</v>
      </c>
      <c r="J33" s="8">
        <v>4</v>
      </c>
      <c r="K33" s="11">
        <f>SUM(Table6[[#This Row],[Bus ]:[Wheelchair]])</f>
        <v>107</v>
      </c>
      <c r="L33" s="1"/>
      <c r="M33" s="1"/>
      <c r="N33" s="8" t="s">
        <v>16</v>
      </c>
      <c r="O33" s="8" t="s">
        <v>28</v>
      </c>
      <c r="P33" s="8">
        <v>0</v>
      </c>
      <c r="Q33" s="8">
        <v>7</v>
      </c>
      <c r="R33" s="8">
        <v>88</v>
      </c>
      <c r="S33" s="8">
        <v>0</v>
      </c>
      <c r="T33" s="8">
        <v>0</v>
      </c>
      <c r="U33" s="8">
        <v>1</v>
      </c>
      <c r="V33" s="8">
        <v>0</v>
      </c>
      <c r="W33" s="11">
        <f>SUM(Table7[[#This Row],[Bus ]:[Wheelchair]])</f>
        <v>96</v>
      </c>
    </row>
    <row r="34" spans="2:23" ht="19.8" thickBot="1" x14ac:dyDescent="0.5">
      <c r="B34" s="15" t="s">
        <v>17</v>
      </c>
      <c r="C34" s="15" t="s">
        <v>28</v>
      </c>
      <c r="D34" s="15">
        <v>0</v>
      </c>
      <c r="E34" s="15">
        <v>8</v>
      </c>
      <c r="F34" s="15">
        <v>9</v>
      </c>
      <c r="G34" s="15">
        <v>0</v>
      </c>
      <c r="H34" s="15">
        <v>0</v>
      </c>
      <c r="I34" s="15">
        <v>0</v>
      </c>
      <c r="J34" s="15">
        <v>0</v>
      </c>
      <c r="K34" s="16">
        <f>SUM(Table6[[#This Row],[Bus ]:[Wheelchair]])</f>
        <v>17</v>
      </c>
      <c r="L34" s="1"/>
      <c r="M34" s="1"/>
      <c r="N34" s="15" t="s">
        <v>17</v>
      </c>
      <c r="O34" s="15" t="s">
        <v>28</v>
      </c>
      <c r="P34" s="15">
        <v>0</v>
      </c>
      <c r="Q34" s="15">
        <v>4</v>
      </c>
      <c r="R34" s="15">
        <v>29</v>
      </c>
      <c r="S34" s="15">
        <v>0</v>
      </c>
      <c r="T34" s="15">
        <v>0</v>
      </c>
      <c r="U34" s="15">
        <v>0</v>
      </c>
      <c r="V34" s="15">
        <v>0</v>
      </c>
      <c r="W34" s="16">
        <f>SUM(Table7[[#This Row],[Bus ]:[Wheelchair]])</f>
        <v>33</v>
      </c>
    </row>
    <row r="35" spans="2:23" ht="19.8" thickTop="1" x14ac:dyDescent="0.45">
      <c r="B35" s="8" t="s">
        <v>18</v>
      </c>
      <c r="C35" s="8" t="s">
        <v>29</v>
      </c>
      <c r="D35" s="8">
        <v>38434</v>
      </c>
      <c r="E35" s="8">
        <v>7009</v>
      </c>
      <c r="F35" s="8">
        <v>6267</v>
      </c>
      <c r="G35" s="8">
        <v>43975</v>
      </c>
      <c r="H35" s="8">
        <v>931</v>
      </c>
      <c r="I35" s="8">
        <v>7476</v>
      </c>
      <c r="J35" s="8">
        <v>1686</v>
      </c>
      <c r="K35" s="11">
        <f>SUM(Table6[[#This Row],[Bus ]:[Wheelchair]])</f>
        <v>105778</v>
      </c>
      <c r="L35" s="1"/>
      <c r="M35" s="1"/>
      <c r="N35" s="8" t="s">
        <v>18</v>
      </c>
      <c r="O35" s="8" t="s">
        <v>29</v>
      </c>
      <c r="P35" s="8">
        <v>43368</v>
      </c>
      <c r="Q35" s="8">
        <v>13415</v>
      </c>
      <c r="R35" s="8">
        <v>5341</v>
      </c>
      <c r="S35" s="8">
        <v>50312</v>
      </c>
      <c r="T35" s="8">
        <v>642</v>
      </c>
      <c r="U35" s="8">
        <v>1909</v>
      </c>
      <c r="V35" s="8">
        <v>1691</v>
      </c>
      <c r="W35" s="11">
        <f>SUM(Table7[[#This Row],[Bus ]:[Wheelchair]])</f>
        <v>116678</v>
      </c>
    </row>
    <row r="36" spans="2:23" ht="19.8" thickBot="1" x14ac:dyDescent="0.5">
      <c r="B36" s="17" t="s">
        <v>19</v>
      </c>
      <c r="C36" s="17" t="s">
        <v>29</v>
      </c>
      <c r="D36" s="17">
        <v>431</v>
      </c>
      <c r="E36" s="17">
        <v>3978</v>
      </c>
      <c r="F36" s="17">
        <v>1156</v>
      </c>
      <c r="G36" s="17">
        <v>4292</v>
      </c>
      <c r="H36" s="17">
        <v>88</v>
      </c>
      <c r="I36" s="17">
        <v>949</v>
      </c>
      <c r="J36" s="17">
        <v>452</v>
      </c>
      <c r="K36" s="18">
        <f>SUM(Table6[[#This Row],[Bus ]:[Wheelchair]])</f>
        <v>11346</v>
      </c>
      <c r="L36" s="1"/>
      <c r="M36" s="1"/>
      <c r="N36" s="8" t="s">
        <v>19</v>
      </c>
      <c r="O36" s="8" t="s">
        <v>29</v>
      </c>
      <c r="P36" s="8">
        <v>649</v>
      </c>
      <c r="Q36" s="8">
        <v>4404</v>
      </c>
      <c r="R36" s="8">
        <v>814</v>
      </c>
      <c r="S36" s="8">
        <v>3931</v>
      </c>
      <c r="T36" s="8">
        <v>110</v>
      </c>
      <c r="U36" s="8">
        <v>224</v>
      </c>
      <c r="V36" s="8">
        <v>375</v>
      </c>
      <c r="W36" s="11">
        <f>SUM(Table7[[#This Row],[Bus ]:[Wheelchair]])</f>
        <v>10507</v>
      </c>
    </row>
    <row r="37" spans="2:23" ht="19.2" x14ac:dyDescent="0.45">
      <c r="B37" s="19" t="s">
        <v>20</v>
      </c>
      <c r="C37" s="19"/>
      <c r="D37" s="19">
        <f>SUBTOTAL(109,Table6[[Bus ]])</f>
        <v>38889</v>
      </c>
      <c r="E37" s="19">
        <f>SUBTOTAL(109,Table6[Cab])</f>
        <v>14180</v>
      </c>
      <c r="F37" s="19">
        <f>SUBTOTAL(109,Table6[GMR])</f>
        <v>9167</v>
      </c>
      <c r="G37" s="19">
        <f>SUBTOTAL(109,Table6[Public Entity])</f>
        <v>49511</v>
      </c>
      <c r="H37" s="19">
        <f>SUBTOTAL(109,Table6[Stretcher])</f>
        <v>1028</v>
      </c>
      <c r="I37" s="19">
        <f>SUBTOTAL(109,Table6[TNC Vendor])</f>
        <v>9211</v>
      </c>
      <c r="J37" s="19">
        <f>SUBTOTAL(109,Table6[Wheelchair])</f>
        <v>2353</v>
      </c>
      <c r="K37" s="19">
        <f>SUBTOTAL(109,Table6[Total])</f>
        <v>124339</v>
      </c>
      <c r="L37" s="1"/>
      <c r="M37" s="1"/>
      <c r="N37" s="20" t="s">
        <v>20</v>
      </c>
      <c r="O37" s="20"/>
      <c r="P37" s="20">
        <f>SUBTOTAL(109,Table7[[Bus ]])</f>
        <v>44224</v>
      </c>
      <c r="Q37" s="20">
        <f>SUBTOTAL(109,Table7[Cab])</f>
        <v>20683</v>
      </c>
      <c r="R37" s="20">
        <f>SUBTOTAL(109,Table7[GMR])</f>
        <v>7608</v>
      </c>
      <c r="S37" s="20">
        <f>SUBTOTAL(109,Table7[Public Entity])</f>
        <v>55899</v>
      </c>
      <c r="T37" s="20">
        <f>SUBTOTAL(109,Table7[Stretcher])</f>
        <v>761</v>
      </c>
      <c r="U37" s="20">
        <f>SUBTOTAL(109,Table7[TNC Vendor])</f>
        <v>2245</v>
      </c>
      <c r="V37" s="20">
        <f>SUBTOTAL(109,Table7[Wheelchair])</f>
        <v>2178</v>
      </c>
      <c r="W37" s="20">
        <f>SUBTOTAL(109,Table7[Total])</f>
        <v>133598</v>
      </c>
    </row>
    <row r="38" spans="2:23" ht="19.2" x14ac:dyDescent="0.4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40" spans="2:23" ht="19.2" x14ac:dyDescent="0.45">
      <c r="B40" s="34">
        <v>45323</v>
      </c>
      <c r="C40" s="34"/>
      <c r="D40" s="34"/>
      <c r="E40" s="35" t="s">
        <v>22</v>
      </c>
      <c r="F40" s="35"/>
      <c r="G40" s="35"/>
      <c r="H40" s="35"/>
      <c r="I40" s="35"/>
      <c r="J40" s="35"/>
      <c r="K40" s="35"/>
      <c r="L40" s="1"/>
      <c r="M40" s="1"/>
      <c r="N40" s="36">
        <v>45689</v>
      </c>
      <c r="O40" s="36"/>
      <c r="P40" s="36"/>
      <c r="Q40" s="37" t="s">
        <v>22</v>
      </c>
      <c r="R40" s="37"/>
      <c r="S40" s="37"/>
      <c r="T40" s="37"/>
      <c r="U40" s="37"/>
      <c r="V40" s="37"/>
      <c r="W40" s="37"/>
    </row>
    <row r="41" spans="2:23" ht="19.2" x14ac:dyDescent="0.45">
      <c r="B41" s="34"/>
      <c r="C41" s="34"/>
      <c r="D41" s="34"/>
      <c r="E41" s="35"/>
      <c r="F41" s="35"/>
      <c r="G41" s="35"/>
      <c r="H41" s="35"/>
      <c r="I41" s="35"/>
      <c r="J41" s="35"/>
      <c r="K41" s="35"/>
      <c r="L41" s="1"/>
      <c r="M41" s="1"/>
      <c r="N41" s="36"/>
      <c r="O41" s="36"/>
      <c r="P41" s="36"/>
      <c r="Q41" s="37"/>
      <c r="R41" s="37"/>
      <c r="S41" s="37"/>
      <c r="T41" s="37"/>
      <c r="U41" s="37"/>
      <c r="V41" s="37"/>
      <c r="W41" s="37"/>
    </row>
    <row r="42" spans="2:23" ht="20.399999999999999" x14ac:dyDescent="0.45">
      <c r="B42" s="13" t="s">
        <v>23</v>
      </c>
      <c r="C42" s="13" t="s">
        <v>24</v>
      </c>
      <c r="D42" s="13" t="s">
        <v>25</v>
      </c>
      <c r="E42" s="13" t="s">
        <v>0</v>
      </c>
      <c r="F42" s="13" t="s">
        <v>26</v>
      </c>
      <c r="G42" s="13" t="s">
        <v>27</v>
      </c>
      <c r="H42" s="13" t="s">
        <v>1</v>
      </c>
      <c r="I42" s="13" t="s">
        <v>2</v>
      </c>
      <c r="J42" s="13" t="s">
        <v>3</v>
      </c>
      <c r="K42" s="13" t="s">
        <v>20</v>
      </c>
      <c r="L42" s="1"/>
      <c r="M42" s="1"/>
      <c r="N42" s="13" t="s">
        <v>23</v>
      </c>
      <c r="O42" s="13" t="s">
        <v>24</v>
      </c>
      <c r="P42" s="13" t="s">
        <v>25</v>
      </c>
      <c r="Q42" s="13" t="s">
        <v>0</v>
      </c>
      <c r="R42" s="13" t="s">
        <v>26</v>
      </c>
      <c r="S42" s="13" t="s">
        <v>27</v>
      </c>
      <c r="T42" s="13" t="s">
        <v>1</v>
      </c>
      <c r="U42" s="13" t="s">
        <v>2</v>
      </c>
      <c r="V42" s="13" t="s">
        <v>3</v>
      </c>
      <c r="W42" s="13" t="s">
        <v>20</v>
      </c>
    </row>
    <row r="43" spans="2:23" ht="19.2" x14ac:dyDescent="0.45">
      <c r="B43" s="8" t="s">
        <v>4</v>
      </c>
      <c r="C43" s="8" t="s">
        <v>28</v>
      </c>
      <c r="D43" s="8">
        <v>5</v>
      </c>
      <c r="E43" s="8">
        <v>604</v>
      </c>
      <c r="F43" s="8">
        <v>236</v>
      </c>
      <c r="G43" s="8">
        <v>241</v>
      </c>
      <c r="H43" s="8">
        <v>3</v>
      </c>
      <c r="I43" s="8">
        <v>168</v>
      </c>
      <c r="J43" s="8">
        <v>79</v>
      </c>
      <c r="K43" s="11">
        <f>SUM(Table67[[#This Row],[Bus ]:[Wheelchair]])</f>
        <v>1336</v>
      </c>
      <c r="L43" s="1"/>
      <c r="M43" s="1"/>
      <c r="N43" s="8" t="s">
        <v>4</v>
      </c>
      <c r="O43" s="8" t="s">
        <v>28</v>
      </c>
      <c r="P43" s="8">
        <v>8</v>
      </c>
      <c r="Q43" s="8">
        <v>714</v>
      </c>
      <c r="R43" s="8">
        <v>130</v>
      </c>
      <c r="S43" s="8">
        <v>528</v>
      </c>
      <c r="T43" s="8">
        <v>2</v>
      </c>
      <c r="U43" s="8">
        <v>11</v>
      </c>
      <c r="V43" s="8">
        <v>48</v>
      </c>
      <c r="W43" s="11">
        <f>SUM(Table78[[#This Row],[Bus ]:[Wheelchair]])</f>
        <v>1441</v>
      </c>
    </row>
    <row r="44" spans="2:23" ht="19.2" x14ac:dyDescent="0.45">
      <c r="B44" s="8" t="s">
        <v>5</v>
      </c>
      <c r="C44" s="8" t="s">
        <v>28</v>
      </c>
      <c r="D44" s="8">
        <v>0</v>
      </c>
      <c r="E44" s="8">
        <v>292</v>
      </c>
      <c r="F44" s="8">
        <v>129</v>
      </c>
      <c r="G44" s="8">
        <v>1</v>
      </c>
      <c r="H44" s="8">
        <v>0</v>
      </c>
      <c r="I44" s="8">
        <v>110</v>
      </c>
      <c r="J44" s="8">
        <v>10</v>
      </c>
      <c r="K44" s="11">
        <f>SUM(Table67[[#This Row],[Bus ]:[Wheelchair]])</f>
        <v>542</v>
      </c>
      <c r="L44" s="1"/>
      <c r="M44" s="1"/>
      <c r="N44" s="8" t="s">
        <v>5</v>
      </c>
      <c r="O44" s="8" t="s">
        <v>28</v>
      </c>
      <c r="P44" s="8">
        <v>0</v>
      </c>
      <c r="Q44" s="8">
        <v>307</v>
      </c>
      <c r="R44" s="8">
        <v>123</v>
      </c>
      <c r="S44" s="8">
        <v>0</v>
      </c>
      <c r="T44" s="8">
        <v>0</v>
      </c>
      <c r="U44" s="8">
        <v>16</v>
      </c>
      <c r="V44" s="8">
        <v>2</v>
      </c>
      <c r="W44" s="11">
        <f>SUM(Table78[[#This Row],[Bus ]:[Wheelchair]])</f>
        <v>448</v>
      </c>
    </row>
    <row r="45" spans="2:23" ht="19.2" x14ac:dyDescent="0.45">
      <c r="B45" s="8" t="s">
        <v>6</v>
      </c>
      <c r="C45" s="8" t="s">
        <v>28</v>
      </c>
      <c r="D45" s="8">
        <v>0</v>
      </c>
      <c r="E45" s="8">
        <v>225</v>
      </c>
      <c r="F45" s="8">
        <v>120</v>
      </c>
      <c r="G45" s="8">
        <v>3</v>
      </c>
      <c r="H45" s="8">
        <v>0</v>
      </c>
      <c r="I45" s="8">
        <v>64</v>
      </c>
      <c r="J45" s="8">
        <v>4</v>
      </c>
      <c r="K45" s="11">
        <f>SUM(Table67[[#This Row],[Bus ]:[Wheelchair]])</f>
        <v>416</v>
      </c>
      <c r="L45" s="1"/>
      <c r="M45" s="1"/>
      <c r="N45" s="8" t="s">
        <v>6</v>
      </c>
      <c r="O45" s="8" t="s">
        <v>28</v>
      </c>
      <c r="P45" s="8">
        <v>0</v>
      </c>
      <c r="Q45" s="8">
        <v>222</v>
      </c>
      <c r="R45" s="8">
        <v>125</v>
      </c>
      <c r="S45" s="8">
        <v>1</v>
      </c>
      <c r="T45" s="8">
        <v>0</v>
      </c>
      <c r="U45" s="8">
        <v>2</v>
      </c>
      <c r="V45" s="8">
        <v>13</v>
      </c>
      <c r="W45" s="11">
        <f>SUM(Table78[[#This Row],[Bus ]:[Wheelchair]])</f>
        <v>363</v>
      </c>
    </row>
    <row r="46" spans="2:23" ht="19.2" x14ac:dyDescent="0.45">
      <c r="B46" s="8" t="s">
        <v>7</v>
      </c>
      <c r="C46" s="8" t="s">
        <v>28</v>
      </c>
      <c r="D46" s="8">
        <v>1</v>
      </c>
      <c r="E46" s="8">
        <v>222</v>
      </c>
      <c r="F46" s="8">
        <v>131</v>
      </c>
      <c r="G46" s="8">
        <v>907</v>
      </c>
      <c r="H46" s="8">
        <v>0</v>
      </c>
      <c r="I46" s="8">
        <v>12</v>
      </c>
      <c r="J46" s="8">
        <v>4</v>
      </c>
      <c r="K46" s="11">
        <f>SUM(Table67[[#This Row],[Bus ]:[Wheelchair]])</f>
        <v>1277</v>
      </c>
      <c r="L46" s="1"/>
      <c r="M46" s="1"/>
      <c r="N46" s="8" t="s">
        <v>7</v>
      </c>
      <c r="O46" s="8" t="s">
        <v>28</v>
      </c>
      <c r="P46" s="8">
        <v>2</v>
      </c>
      <c r="Q46" s="8">
        <v>93</v>
      </c>
      <c r="R46" s="8">
        <v>181</v>
      </c>
      <c r="S46" s="8">
        <v>967</v>
      </c>
      <c r="T46" s="8">
        <v>0</v>
      </c>
      <c r="U46" s="8">
        <v>3</v>
      </c>
      <c r="V46" s="8">
        <v>1</v>
      </c>
      <c r="W46" s="11">
        <f>SUM(Table78[[#This Row],[Bus ]:[Wheelchair]])</f>
        <v>1247</v>
      </c>
    </row>
    <row r="47" spans="2:23" ht="19.2" x14ac:dyDescent="0.45">
      <c r="B47" s="8" t="s">
        <v>8</v>
      </c>
      <c r="C47" s="8" t="s">
        <v>28</v>
      </c>
      <c r="D47" s="8">
        <v>0</v>
      </c>
      <c r="E47" s="8">
        <v>19</v>
      </c>
      <c r="F47" s="8">
        <v>2</v>
      </c>
      <c r="G47" s="8">
        <v>0</v>
      </c>
      <c r="H47" s="8">
        <v>0</v>
      </c>
      <c r="I47" s="8">
        <v>0</v>
      </c>
      <c r="J47" s="8">
        <v>0</v>
      </c>
      <c r="K47" s="11">
        <f>SUM(Table67[[#This Row],[Bus ]:[Wheelchair]])</f>
        <v>21</v>
      </c>
      <c r="L47" s="1"/>
      <c r="M47" s="1"/>
      <c r="N47" s="8" t="s">
        <v>7</v>
      </c>
      <c r="O47" s="8" t="s">
        <v>28</v>
      </c>
      <c r="P47" s="8">
        <v>0</v>
      </c>
      <c r="Q47" s="8">
        <v>0</v>
      </c>
      <c r="R47" s="8">
        <v>2</v>
      </c>
      <c r="S47" s="8">
        <v>0</v>
      </c>
      <c r="T47" s="8">
        <v>0</v>
      </c>
      <c r="U47" s="8">
        <v>0</v>
      </c>
      <c r="V47" s="8">
        <v>0</v>
      </c>
      <c r="W47" s="11">
        <f>SUM(Table78[[#This Row],[Bus ]:[Wheelchair]])</f>
        <v>2</v>
      </c>
    </row>
    <row r="48" spans="2:23" ht="19.2" x14ac:dyDescent="0.45">
      <c r="B48" s="8" t="s">
        <v>9</v>
      </c>
      <c r="C48" s="8" t="s">
        <v>28</v>
      </c>
      <c r="D48" s="8">
        <v>0</v>
      </c>
      <c r="E48" s="8">
        <v>0</v>
      </c>
      <c r="F48" s="8">
        <v>6</v>
      </c>
      <c r="G48" s="8">
        <v>0</v>
      </c>
      <c r="H48" s="8">
        <v>0</v>
      </c>
      <c r="I48" s="8">
        <v>0</v>
      </c>
      <c r="J48" s="8">
        <v>0</v>
      </c>
      <c r="K48" s="11">
        <f>SUM(Table67[[#This Row],[Bus ]:[Wheelchair]])</f>
        <v>6</v>
      </c>
      <c r="L48" s="1"/>
      <c r="M48" s="1"/>
      <c r="N48" s="8" t="s">
        <v>9</v>
      </c>
      <c r="O48" s="8" t="s">
        <v>28</v>
      </c>
      <c r="P48" s="8">
        <v>0</v>
      </c>
      <c r="Q48" s="8">
        <v>10</v>
      </c>
      <c r="R48" s="8">
        <v>3</v>
      </c>
      <c r="S48" s="8">
        <v>0</v>
      </c>
      <c r="T48" s="8">
        <v>0</v>
      </c>
      <c r="U48" s="8">
        <v>0</v>
      </c>
      <c r="V48" s="8">
        <v>0</v>
      </c>
      <c r="W48" s="11">
        <f>SUM(Table78[[#This Row],[Bus ]:[Wheelchair]])</f>
        <v>13</v>
      </c>
    </row>
    <row r="49" spans="2:23" ht="19.2" x14ac:dyDescent="0.45">
      <c r="B49" s="8" t="s">
        <v>10</v>
      </c>
      <c r="C49" s="8" t="s">
        <v>28</v>
      </c>
      <c r="D49" s="8">
        <v>0</v>
      </c>
      <c r="E49" s="8">
        <v>16</v>
      </c>
      <c r="F49" s="8">
        <v>75</v>
      </c>
      <c r="G49" s="8">
        <v>0</v>
      </c>
      <c r="H49" s="8">
        <v>0</v>
      </c>
      <c r="I49" s="8">
        <v>6</v>
      </c>
      <c r="J49" s="8">
        <v>1</v>
      </c>
      <c r="K49" s="11">
        <f>SUM(Table67[[#This Row],[Bus ]:[Wheelchair]])</f>
        <v>98</v>
      </c>
      <c r="L49" s="1"/>
      <c r="M49" s="1"/>
      <c r="N49" s="8" t="s">
        <v>10</v>
      </c>
      <c r="O49" s="8" t="s">
        <v>28</v>
      </c>
      <c r="P49" s="8">
        <v>0</v>
      </c>
      <c r="Q49" s="8">
        <v>11</v>
      </c>
      <c r="R49" s="8">
        <v>46</v>
      </c>
      <c r="S49" s="8">
        <v>0</v>
      </c>
      <c r="T49" s="8">
        <v>0</v>
      </c>
      <c r="U49" s="8">
        <v>0</v>
      </c>
      <c r="V49" s="8">
        <v>0</v>
      </c>
      <c r="W49" s="11">
        <f>SUM(Table78[[#This Row],[Bus ]:[Wheelchair]])</f>
        <v>57</v>
      </c>
    </row>
    <row r="50" spans="2:23" ht="19.2" x14ac:dyDescent="0.45">
      <c r="B50" s="8" t="s">
        <v>11</v>
      </c>
      <c r="C50" s="8" t="s">
        <v>28</v>
      </c>
      <c r="D50" s="8">
        <v>0</v>
      </c>
      <c r="E50" s="8">
        <v>6</v>
      </c>
      <c r="F50" s="8">
        <v>36</v>
      </c>
      <c r="G50" s="8">
        <v>0</v>
      </c>
      <c r="H50" s="8">
        <v>0</v>
      </c>
      <c r="I50" s="8">
        <v>10</v>
      </c>
      <c r="J50" s="8">
        <v>0</v>
      </c>
      <c r="K50" s="11">
        <f>SUM(Table67[[#This Row],[Bus ]:[Wheelchair]])</f>
        <v>52</v>
      </c>
      <c r="L50" s="1"/>
      <c r="M50" s="1"/>
      <c r="N50" s="8" t="s">
        <v>11</v>
      </c>
      <c r="O50" s="8" t="s">
        <v>28</v>
      </c>
      <c r="P50" s="8">
        <v>0</v>
      </c>
      <c r="Q50" s="8">
        <v>13</v>
      </c>
      <c r="R50" s="8">
        <v>20</v>
      </c>
      <c r="S50" s="8">
        <v>0</v>
      </c>
      <c r="T50" s="8">
        <v>0</v>
      </c>
      <c r="U50" s="8">
        <v>0</v>
      </c>
      <c r="V50" s="8">
        <v>0</v>
      </c>
      <c r="W50" s="11">
        <f>SUM(Table78[[#This Row],[Bus ]:[Wheelchair]])</f>
        <v>33</v>
      </c>
    </row>
    <row r="51" spans="2:23" ht="19.2" x14ac:dyDescent="0.45">
      <c r="B51" s="8" t="s">
        <v>12</v>
      </c>
      <c r="C51" s="8" t="s">
        <v>28</v>
      </c>
      <c r="D51" s="8">
        <v>0</v>
      </c>
      <c r="E51" s="8">
        <v>8</v>
      </c>
      <c r="F51" s="8">
        <v>5</v>
      </c>
      <c r="G51" s="8">
        <v>0</v>
      </c>
      <c r="H51" s="8">
        <v>0</v>
      </c>
      <c r="I51" s="8">
        <v>0</v>
      </c>
      <c r="J51" s="8">
        <v>0</v>
      </c>
      <c r="K51" s="11">
        <f>SUM(Table67[[#This Row],[Bus ]:[Wheelchair]])</f>
        <v>13</v>
      </c>
      <c r="L51" s="1"/>
      <c r="M51" s="1"/>
      <c r="N51" s="8" t="s">
        <v>12</v>
      </c>
      <c r="O51" s="8" t="s">
        <v>28</v>
      </c>
      <c r="P51" s="8">
        <v>0</v>
      </c>
      <c r="Q51" s="8">
        <v>7</v>
      </c>
      <c r="R51" s="8">
        <v>1</v>
      </c>
      <c r="S51" s="8">
        <v>0</v>
      </c>
      <c r="T51" s="8">
        <v>0</v>
      </c>
      <c r="U51" s="8">
        <v>5</v>
      </c>
      <c r="V51" s="8">
        <v>0</v>
      </c>
      <c r="W51" s="11">
        <f>SUM(Table78[[#This Row],[Bus ]:[Wheelchair]])</f>
        <v>13</v>
      </c>
    </row>
    <row r="52" spans="2:23" ht="19.2" x14ac:dyDescent="0.45">
      <c r="B52" s="8" t="s">
        <v>13</v>
      </c>
      <c r="C52" s="8" t="s">
        <v>28</v>
      </c>
      <c r="D52" s="8">
        <v>0</v>
      </c>
      <c r="E52" s="8">
        <v>224</v>
      </c>
      <c r="F52" s="8">
        <v>260</v>
      </c>
      <c r="G52" s="8">
        <v>1</v>
      </c>
      <c r="H52" s="8">
        <v>0</v>
      </c>
      <c r="I52" s="8">
        <v>66</v>
      </c>
      <c r="J52" s="8">
        <v>4</v>
      </c>
      <c r="K52" s="11">
        <f>SUM(Table67[[#This Row],[Bus ]:[Wheelchair]])</f>
        <v>555</v>
      </c>
      <c r="L52" s="1"/>
      <c r="M52" s="1"/>
      <c r="N52" s="8" t="s">
        <v>13</v>
      </c>
      <c r="O52" s="8" t="s">
        <v>28</v>
      </c>
      <c r="P52" s="8">
        <v>0</v>
      </c>
      <c r="Q52" s="8">
        <v>401</v>
      </c>
      <c r="R52" s="8">
        <v>319</v>
      </c>
      <c r="S52" s="8">
        <v>0</v>
      </c>
      <c r="T52" s="8">
        <v>1</v>
      </c>
      <c r="U52" s="8">
        <v>13</v>
      </c>
      <c r="V52" s="8">
        <v>2</v>
      </c>
      <c r="W52" s="11">
        <f>SUM(Table78[[#This Row],[Bus ]:[Wheelchair]])</f>
        <v>736</v>
      </c>
    </row>
    <row r="53" spans="2:23" ht="19.2" x14ac:dyDescent="0.45">
      <c r="B53" s="8" t="s">
        <v>14</v>
      </c>
      <c r="C53" s="8" t="s">
        <v>28</v>
      </c>
      <c r="D53" s="8">
        <v>0</v>
      </c>
      <c r="E53" s="8">
        <v>54</v>
      </c>
      <c r="F53" s="8">
        <v>15</v>
      </c>
      <c r="G53" s="8">
        <v>0</v>
      </c>
      <c r="H53" s="8">
        <v>0</v>
      </c>
      <c r="I53" s="8">
        <v>0</v>
      </c>
      <c r="J53" s="8">
        <v>2</v>
      </c>
      <c r="K53" s="11">
        <f>SUM(Table67[[#This Row],[Bus ]:[Wheelchair]])</f>
        <v>71</v>
      </c>
      <c r="L53" s="1"/>
      <c r="M53" s="1"/>
      <c r="N53" s="8" t="s">
        <v>14</v>
      </c>
      <c r="O53" s="8" t="s">
        <v>28</v>
      </c>
      <c r="P53" s="8">
        <v>0</v>
      </c>
      <c r="Q53" s="8">
        <v>37</v>
      </c>
      <c r="R53" s="8">
        <v>2</v>
      </c>
      <c r="S53" s="8">
        <v>0</v>
      </c>
      <c r="T53" s="8">
        <v>0</v>
      </c>
      <c r="U53" s="8">
        <v>1</v>
      </c>
      <c r="V53" s="8">
        <v>5</v>
      </c>
      <c r="W53" s="11">
        <f>SUM(Table78[[#This Row],[Bus ]:[Wheelchair]])</f>
        <v>45</v>
      </c>
    </row>
    <row r="54" spans="2:23" ht="19.2" x14ac:dyDescent="0.45">
      <c r="B54" s="8" t="s">
        <v>15</v>
      </c>
      <c r="C54" s="8" t="s">
        <v>28</v>
      </c>
      <c r="D54" s="8">
        <v>13</v>
      </c>
      <c r="E54" s="8">
        <v>1646</v>
      </c>
      <c r="F54" s="8">
        <v>321</v>
      </c>
      <c r="G54" s="8">
        <v>8</v>
      </c>
      <c r="H54" s="8">
        <v>9</v>
      </c>
      <c r="I54" s="8">
        <v>257</v>
      </c>
      <c r="J54" s="8">
        <v>73</v>
      </c>
      <c r="K54" s="11">
        <f>SUM(Table67[[#This Row],[Bus ]:[Wheelchair]])</f>
        <v>2327</v>
      </c>
      <c r="L54" s="1"/>
      <c r="M54" s="1"/>
      <c r="N54" s="8" t="s">
        <v>15</v>
      </c>
      <c r="O54" s="8" t="s">
        <v>28</v>
      </c>
      <c r="P54" s="8">
        <v>194</v>
      </c>
      <c r="Q54" s="8">
        <v>676</v>
      </c>
      <c r="R54" s="8">
        <v>289</v>
      </c>
      <c r="S54" s="8">
        <v>8</v>
      </c>
      <c r="T54" s="8">
        <v>0</v>
      </c>
      <c r="U54" s="8">
        <v>41</v>
      </c>
      <c r="V54" s="8">
        <v>31</v>
      </c>
      <c r="W54" s="11">
        <f>SUM(Table78[[#This Row],[Bus ]:[Wheelchair]])</f>
        <v>1239</v>
      </c>
    </row>
    <row r="55" spans="2:23" ht="19.2" x14ac:dyDescent="0.45">
      <c r="B55" s="8" t="s">
        <v>16</v>
      </c>
      <c r="C55" s="8" t="s">
        <v>28</v>
      </c>
      <c r="D55" s="8">
        <v>0</v>
      </c>
      <c r="E55" s="8">
        <v>2</v>
      </c>
      <c r="F55" s="8">
        <v>99</v>
      </c>
      <c r="G55" s="8">
        <v>0</v>
      </c>
      <c r="H55" s="8">
        <v>0</v>
      </c>
      <c r="I55" s="8">
        <v>0</v>
      </c>
      <c r="J55" s="8">
        <v>0</v>
      </c>
      <c r="K55" s="11">
        <f>SUM(Table67[[#This Row],[Bus ]:[Wheelchair]])</f>
        <v>101</v>
      </c>
      <c r="L55" s="1"/>
      <c r="M55" s="1"/>
      <c r="N55" s="8" t="s">
        <v>16</v>
      </c>
      <c r="O55" s="8" t="s">
        <v>28</v>
      </c>
      <c r="P55" s="8">
        <v>0</v>
      </c>
      <c r="Q55" s="8">
        <v>9</v>
      </c>
      <c r="R55" s="8">
        <v>86</v>
      </c>
      <c r="S55" s="8">
        <v>0</v>
      </c>
      <c r="T55" s="8">
        <v>0</v>
      </c>
      <c r="U55" s="8">
        <v>0</v>
      </c>
      <c r="V55" s="8">
        <v>0</v>
      </c>
      <c r="W55" s="11">
        <f>SUM(Table78[[#This Row],[Bus ]:[Wheelchair]])</f>
        <v>95</v>
      </c>
    </row>
    <row r="56" spans="2:23" ht="19.8" thickBot="1" x14ac:dyDescent="0.5">
      <c r="B56" s="15" t="s">
        <v>17</v>
      </c>
      <c r="C56" s="15" t="s">
        <v>28</v>
      </c>
      <c r="D56" s="15">
        <v>0</v>
      </c>
      <c r="E56" s="15">
        <v>8</v>
      </c>
      <c r="F56" s="15">
        <v>11</v>
      </c>
      <c r="G56" s="15">
        <v>0</v>
      </c>
      <c r="H56" s="15">
        <v>0</v>
      </c>
      <c r="I56" s="15">
        <v>0</v>
      </c>
      <c r="J56" s="15">
        <v>0</v>
      </c>
      <c r="K56" s="16">
        <f>SUM(Table67[[#This Row],[Bus ]:[Wheelchair]])</f>
        <v>19</v>
      </c>
      <c r="L56" s="1"/>
      <c r="M56" s="1"/>
      <c r="N56" s="8" t="s">
        <v>21</v>
      </c>
      <c r="O56" s="8" t="s">
        <v>28</v>
      </c>
      <c r="P56" s="8">
        <v>0</v>
      </c>
      <c r="Q56" s="8">
        <v>6</v>
      </c>
      <c r="R56" s="8">
        <v>0</v>
      </c>
      <c r="S56" s="8">
        <v>0</v>
      </c>
      <c r="T56" s="8">
        <v>0</v>
      </c>
      <c r="U56" s="8">
        <v>1</v>
      </c>
      <c r="V56" s="8">
        <v>0</v>
      </c>
      <c r="W56" s="11">
        <f>SUM(Table78[[#This Row],[Bus ]:[Wheelchair]])</f>
        <v>7</v>
      </c>
    </row>
    <row r="57" spans="2:23" ht="20.399999999999999" thickTop="1" thickBot="1" x14ac:dyDescent="0.5">
      <c r="B57" s="8" t="s">
        <v>18</v>
      </c>
      <c r="C57" s="8" t="s">
        <v>29</v>
      </c>
      <c r="D57" s="8">
        <v>37952</v>
      </c>
      <c r="E57" s="8">
        <v>6970</v>
      </c>
      <c r="F57" s="8">
        <v>6366</v>
      </c>
      <c r="G57" s="8">
        <v>42859</v>
      </c>
      <c r="H57" s="8">
        <v>864</v>
      </c>
      <c r="I57" s="8">
        <v>7257</v>
      </c>
      <c r="J57" s="8">
        <v>1656</v>
      </c>
      <c r="K57" s="11">
        <f>SUM(Table67[[#This Row],[Bus ]:[Wheelchair]])</f>
        <v>103924</v>
      </c>
      <c r="L57" s="1"/>
      <c r="M57" s="1"/>
      <c r="N57" s="15" t="s">
        <v>17</v>
      </c>
      <c r="O57" s="15" t="s">
        <v>28</v>
      </c>
      <c r="P57" s="15">
        <v>0</v>
      </c>
      <c r="Q57" s="15">
        <v>5</v>
      </c>
      <c r="R57" s="15">
        <v>42</v>
      </c>
      <c r="S57" s="15">
        <v>0</v>
      </c>
      <c r="T57" s="15">
        <v>0</v>
      </c>
      <c r="U57" s="15">
        <v>0</v>
      </c>
      <c r="V57" s="15">
        <v>2</v>
      </c>
      <c r="W57" s="16">
        <f>SUM(Table78[[#This Row],[Bus ]:[Wheelchair]])</f>
        <v>49</v>
      </c>
    </row>
    <row r="58" spans="2:23" ht="20.399999999999999" thickTop="1" thickBot="1" x14ac:dyDescent="0.5">
      <c r="B58" s="17" t="s">
        <v>19</v>
      </c>
      <c r="C58" s="17" t="s">
        <v>29</v>
      </c>
      <c r="D58" s="17">
        <v>251</v>
      </c>
      <c r="E58" s="17">
        <v>4330</v>
      </c>
      <c r="F58" s="17">
        <v>1027</v>
      </c>
      <c r="G58" s="17">
        <v>3861</v>
      </c>
      <c r="H58" s="17">
        <v>60</v>
      </c>
      <c r="I58" s="17">
        <v>949</v>
      </c>
      <c r="J58" s="17">
        <v>436</v>
      </c>
      <c r="K58" s="18">
        <f>SUM(Table67[[#This Row],[Bus ]:[Wheelchair]])</f>
        <v>10914</v>
      </c>
      <c r="L58" s="1"/>
      <c r="M58" s="1"/>
      <c r="N58" s="8" t="s">
        <v>18</v>
      </c>
      <c r="O58" s="8" t="s">
        <v>29</v>
      </c>
      <c r="P58" s="8">
        <v>38307</v>
      </c>
      <c r="Q58" s="8">
        <v>12371</v>
      </c>
      <c r="R58" s="8">
        <v>4908</v>
      </c>
      <c r="S58" s="8">
        <v>45840</v>
      </c>
      <c r="T58" s="8">
        <v>679</v>
      </c>
      <c r="U58" s="8">
        <v>1441</v>
      </c>
      <c r="V58" s="8">
        <v>1405</v>
      </c>
      <c r="W58" s="11">
        <f>SUM(Table78[[#This Row],[Bus ]:[Wheelchair]])</f>
        <v>104951</v>
      </c>
    </row>
    <row r="59" spans="2:23" ht="19.8" thickBot="1" x14ac:dyDescent="0.5">
      <c r="B59" s="19" t="s">
        <v>20</v>
      </c>
      <c r="C59" s="19"/>
      <c r="D59" s="19">
        <f>SUBTOTAL(109,Table67[[Bus ]])</f>
        <v>38222</v>
      </c>
      <c r="E59" s="19">
        <f>SUBTOTAL(109,Table67[Cab])</f>
        <v>14626</v>
      </c>
      <c r="F59" s="19">
        <f>SUBTOTAL(109,Table67[GMR])</f>
        <v>8839</v>
      </c>
      <c r="G59" s="19">
        <f>SUBTOTAL(109,Table67[Public Entity])</f>
        <v>47881</v>
      </c>
      <c r="H59" s="19">
        <f>SUBTOTAL(109,Table67[Stretcher])</f>
        <v>936</v>
      </c>
      <c r="I59" s="19">
        <f>SUBTOTAL(109,Table67[TNC Vendor])</f>
        <v>8899</v>
      </c>
      <c r="J59" s="19">
        <f>SUBTOTAL(109,Table67[Wheelchair])</f>
        <v>2269</v>
      </c>
      <c r="K59" s="19">
        <f>SUBTOTAL(109,Table67[Total])</f>
        <v>121672</v>
      </c>
      <c r="L59" s="1"/>
      <c r="M59" s="1"/>
      <c r="N59" s="17" t="s">
        <v>19</v>
      </c>
      <c r="O59" s="17" t="s">
        <v>29</v>
      </c>
      <c r="P59" s="17">
        <v>728</v>
      </c>
      <c r="Q59" s="17">
        <v>4061</v>
      </c>
      <c r="R59" s="17">
        <v>820</v>
      </c>
      <c r="S59" s="17">
        <v>3400</v>
      </c>
      <c r="T59" s="17">
        <v>85</v>
      </c>
      <c r="U59" s="17">
        <v>184</v>
      </c>
      <c r="V59" s="17">
        <v>407</v>
      </c>
      <c r="W59" s="21">
        <f>SUM(Table78[[#This Row],[Bus ]:[Wheelchair]])</f>
        <v>9685</v>
      </c>
    </row>
    <row r="60" spans="2:23" ht="19.2" x14ac:dyDescent="0.4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0" t="s">
        <v>20</v>
      </c>
      <c r="O60" s="20"/>
      <c r="P60" s="20">
        <f>SUBTOTAL(109,Table78[[Bus ]])</f>
        <v>39239</v>
      </c>
      <c r="Q60" s="20">
        <f>SUBTOTAL(109,Table78[Cab])</f>
        <v>18943</v>
      </c>
      <c r="R60" s="20">
        <f>SUBTOTAL(109,Table78[GMR])</f>
        <v>7097</v>
      </c>
      <c r="S60" s="20">
        <f>SUBTOTAL(109,Table78[Public Entity])</f>
        <v>50744</v>
      </c>
      <c r="T60" s="20">
        <f>SUBTOTAL(109,Table78[Stretcher])</f>
        <v>767</v>
      </c>
      <c r="U60" s="20">
        <f>SUBTOTAL(109,Table78[TNC Vendor])</f>
        <v>1718</v>
      </c>
      <c r="V60" s="20">
        <f>SUBTOTAL(109,Table78[Wheelchair])</f>
        <v>1916</v>
      </c>
      <c r="W60" s="20">
        <f>SUBTOTAL(109,Table78[Total])</f>
        <v>120424</v>
      </c>
    </row>
    <row r="61" spans="2:23" ht="19.2" x14ac:dyDescent="0.4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2:23" ht="19.2" x14ac:dyDescent="0.4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2:23" ht="19.2" x14ac:dyDescent="0.45">
      <c r="B63" s="34">
        <v>45352</v>
      </c>
      <c r="C63" s="34"/>
      <c r="D63" s="34"/>
      <c r="E63" s="35" t="s">
        <v>22</v>
      </c>
      <c r="F63" s="35"/>
      <c r="G63" s="35"/>
      <c r="H63" s="35"/>
      <c r="I63" s="35"/>
      <c r="J63" s="35"/>
      <c r="K63" s="35"/>
      <c r="L63" s="1"/>
      <c r="M63" s="1"/>
      <c r="N63" s="36">
        <v>45717</v>
      </c>
      <c r="O63" s="36"/>
      <c r="P63" s="36"/>
      <c r="Q63" s="37" t="s">
        <v>22</v>
      </c>
      <c r="R63" s="37"/>
      <c r="S63" s="37"/>
      <c r="T63" s="37"/>
      <c r="U63" s="37"/>
      <c r="V63" s="37"/>
      <c r="W63" s="37"/>
    </row>
    <row r="64" spans="2:23" ht="19.2" x14ac:dyDescent="0.45">
      <c r="B64" s="34"/>
      <c r="C64" s="34"/>
      <c r="D64" s="34"/>
      <c r="E64" s="35"/>
      <c r="F64" s="35"/>
      <c r="G64" s="35"/>
      <c r="H64" s="35"/>
      <c r="I64" s="35"/>
      <c r="J64" s="35"/>
      <c r="K64" s="35"/>
      <c r="L64" s="1"/>
      <c r="M64" s="1"/>
      <c r="N64" s="36"/>
      <c r="O64" s="36"/>
      <c r="P64" s="36"/>
      <c r="Q64" s="37"/>
      <c r="R64" s="37"/>
      <c r="S64" s="37"/>
      <c r="T64" s="37"/>
      <c r="U64" s="37"/>
      <c r="V64" s="37"/>
      <c r="W64" s="37"/>
    </row>
    <row r="65" spans="2:23" ht="20.399999999999999" x14ac:dyDescent="0.45">
      <c r="B65" s="13" t="s">
        <v>23</v>
      </c>
      <c r="C65" s="13" t="s">
        <v>24</v>
      </c>
      <c r="D65" s="13" t="s">
        <v>25</v>
      </c>
      <c r="E65" s="13" t="s">
        <v>0</v>
      </c>
      <c r="F65" s="13" t="s">
        <v>26</v>
      </c>
      <c r="G65" s="13" t="s">
        <v>27</v>
      </c>
      <c r="H65" s="13" t="s">
        <v>1</v>
      </c>
      <c r="I65" s="13" t="s">
        <v>2</v>
      </c>
      <c r="J65" s="13" t="s">
        <v>3</v>
      </c>
      <c r="K65" s="13" t="s">
        <v>20</v>
      </c>
      <c r="L65" s="1"/>
      <c r="M65" s="1"/>
      <c r="N65" s="13" t="s">
        <v>23</v>
      </c>
      <c r="O65" s="13" t="s">
        <v>24</v>
      </c>
      <c r="P65" s="13" t="s">
        <v>25</v>
      </c>
      <c r="Q65" s="13" t="s">
        <v>0</v>
      </c>
      <c r="R65" s="13" t="s">
        <v>26</v>
      </c>
      <c r="S65" s="13" t="s">
        <v>27</v>
      </c>
      <c r="T65" s="13" t="s">
        <v>1</v>
      </c>
      <c r="U65" s="13" t="s">
        <v>2</v>
      </c>
      <c r="V65" s="13" t="s">
        <v>3</v>
      </c>
      <c r="W65" s="13" t="s">
        <v>20</v>
      </c>
    </row>
    <row r="66" spans="2:23" ht="19.2" x14ac:dyDescent="0.45">
      <c r="B66" s="8" t="s">
        <v>4</v>
      </c>
      <c r="C66" s="8" t="s">
        <v>28</v>
      </c>
      <c r="D66" s="8">
        <v>35</v>
      </c>
      <c r="E66" s="8">
        <v>675</v>
      </c>
      <c r="F66" s="8">
        <v>260</v>
      </c>
      <c r="G66" s="8">
        <v>413</v>
      </c>
      <c r="H66" s="8">
        <v>0</v>
      </c>
      <c r="I66" s="8">
        <v>164</v>
      </c>
      <c r="J66" s="8">
        <v>30</v>
      </c>
      <c r="K66" s="11">
        <f>SUM(Table6710[[#This Row],[Bus ]:[Wheelchair]])</f>
        <v>1577</v>
      </c>
      <c r="L66" s="1"/>
      <c r="M66" s="1"/>
      <c r="N66" s="8" t="s">
        <v>4</v>
      </c>
      <c r="O66" s="8" t="s">
        <v>28</v>
      </c>
      <c r="P66" s="8">
        <v>46</v>
      </c>
      <c r="Q66" s="8">
        <v>784</v>
      </c>
      <c r="R66" s="8">
        <v>159</v>
      </c>
      <c r="S66" s="8">
        <v>509</v>
      </c>
      <c r="T66" s="8">
        <v>1</v>
      </c>
      <c r="U66" s="8">
        <v>9</v>
      </c>
      <c r="V66" s="8">
        <v>58</v>
      </c>
      <c r="W66" s="11">
        <f>SUM(Table7811[[#This Row],[Bus ]:[Wheelchair]])</f>
        <v>1566</v>
      </c>
    </row>
    <row r="67" spans="2:23" ht="19.2" x14ac:dyDescent="0.45">
      <c r="B67" s="8" t="s">
        <v>5</v>
      </c>
      <c r="C67" s="8" t="s">
        <v>28</v>
      </c>
      <c r="D67" s="8">
        <v>0</v>
      </c>
      <c r="E67" s="8">
        <v>281</v>
      </c>
      <c r="F67" s="8">
        <v>170</v>
      </c>
      <c r="G67" s="8">
        <v>1</v>
      </c>
      <c r="H67" s="8">
        <v>0</v>
      </c>
      <c r="I67" s="8">
        <v>135</v>
      </c>
      <c r="J67" s="8">
        <v>0</v>
      </c>
      <c r="K67" s="11">
        <f>SUM(Table6710[[#This Row],[Bus ]:[Wheelchair]])</f>
        <v>587</v>
      </c>
      <c r="L67" s="1"/>
      <c r="M67" s="1"/>
      <c r="N67" s="8" t="s">
        <v>5</v>
      </c>
      <c r="O67" s="8" t="s">
        <v>28</v>
      </c>
      <c r="P67" s="8">
        <v>0</v>
      </c>
      <c r="Q67" s="8">
        <v>336</v>
      </c>
      <c r="R67" s="8">
        <v>111</v>
      </c>
      <c r="S67" s="8">
        <v>1</v>
      </c>
      <c r="T67" s="8">
        <v>7</v>
      </c>
      <c r="U67" s="8">
        <v>18</v>
      </c>
      <c r="V67" s="8">
        <v>0</v>
      </c>
      <c r="W67" s="11">
        <f>SUM(Table7811[[#This Row],[Bus ]:[Wheelchair]])</f>
        <v>473</v>
      </c>
    </row>
    <row r="68" spans="2:23" ht="19.2" x14ac:dyDescent="0.45">
      <c r="B68" s="8" t="s">
        <v>6</v>
      </c>
      <c r="C68" s="8" t="s">
        <v>28</v>
      </c>
      <c r="D68" s="8">
        <v>0</v>
      </c>
      <c r="E68" s="8">
        <v>242</v>
      </c>
      <c r="F68" s="8">
        <v>122</v>
      </c>
      <c r="G68" s="8">
        <v>2</v>
      </c>
      <c r="H68" s="8">
        <v>0</v>
      </c>
      <c r="I68" s="8">
        <v>46</v>
      </c>
      <c r="J68" s="8">
        <v>5</v>
      </c>
      <c r="K68" s="11">
        <f>SUM(Table6710[[#This Row],[Bus ]:[Wheelchair]])</f>
        <v>417</v>
      </c>
      <c r="L68" s="1"/>
      <c r="M68" s="1"/>
      <c r="N68" s="8" t="s">
        <v>6</v>
      </c>
      <c r="O68" s="8" t="s">
        <v>28</v>
      </c>
      <c r="P68" s="8">
        <v>4</v>
      </c>
      <c r="Q68" s="8">
        <v>288</v>
      </c>
      <c r="R68" s="8">
        <v>108</v>
      </c>
      <c r="S68" s="8">
        <v>3</v>
      </c>
      <c r="T68" s="8">
        <v>0</v>
      </c>
      <c r="U68" s="8">
        <v>4</v>
      </c>
      <c r="V68" s="8">
        <v>10</v>
      </c>
      <c r="W68" s="11">
        <f>SUM(Table7811[[#This Row],[Bus ]:[Wheelchair]])</f>
        <v>417</v>
      </c>
    </row>
    <row r="69" spans="2:23" ht="19.2" x14ac:dyDescent="0.45">
      <c r="B69" s="8" t="s">
        <v>7</v>
      </c>
      <c r="C69" s="8" t="s">
        <v>28</v>
      </c>
      <c r="D69" s="8">
        <v>0</v>
      </c>
      <c r="E69" s="8">
        <v>304</v>
      </c>
      <c r="F69" s="8">
        <v>123</v>
      </c>
      <c r="G69" s="8">
        <v>943</v>
      </c>
      <c r="H69" s="8">
        <v>0</v>
      </c>
      <c r="I69" s="8">
        <v>15</v>
      </c>
      <c r="J69" s="8">
        <v>0</v>
      </c>
      <c r="K69" s="11">
        <f>SUM(Table6710[[#This Row],[Bus ]:[Wheelchair]])</f>
        <v>1385</v>
      </c>
      <c r="L69" s="1"/>
      <c r="M69" s="1"/>
      <c r="N69" s="8" t="s">
        <v>7</v>
      </c>
      <c r="O69" s="8" t="s">
        <v>28</v>
      </c>
      <c r="P69" s="8">
        <v>2</v>
      </c>
      <c r="Q69" s="8">
        <v>110</v>
      </c>
      <c r="R69" s="8">
        <v>197</v>
      </c>
      <c r="S69" s="8">
        <v>989</v>
      </c>
      <c r="T69" s="8">
        <v>0</v>
      </c>
      <c r="U69" s="8">
        <v>6</v>
      </c>
      <c r="V69" s="8">
        <v>4</v>
      </c>
      <c r="W69" s="11">
        <f>SUM(Table7811[[#This Row],[Bus ]:[Wheelchair]])</f>
        <v>1308</v>
      </c>
    </row>
    <row r="70" spans="2:23" ht="19.2" x14ac:dyDescent="0.45">
      <c r="B70" s="8" t="s">
        <v>8</v>
      </c>
      <c r="C70" s="8" t="s">
        <v>28</v>
      </c>
      <c r="D70" s="8">
        <v>0</v>
      </c>
      <c r="E70" s="8">
        <v>17</v>
      </c>
      <c r="F70" s="8">
        <v>3</v>
      </c>
      <c r="G70" s="8">
        <v>0</v>
      </c>
      <c r="H70" s="8">
        <v>0</v>
      </c>
      <c r="I70" s="8">
        <v>0</v>
      </c>
      <c r="J70" s="8">
        <v>0</v>
      </c>
      <c r="K70" s="11">
        <f>SUM(Table6710[[#This Row],[Bus ]:[Wheelchair]])</f>
        <v>20</v>
      </c>
      <c r="L70" s="1"/>
      <c r="M70" s="1"/>
      <c r="N70" s="8" t="s">
        <v>7</v>
      </c>
      <c r="O70" s="8" t="s">
        <v>28</v>
      </c>
      <c r="P70" s="8">
        <v>0</v>
      </c>
      <c r="Q70" s="8">
        <v>0</v>
      </c>
      <c r="R70" s="8">
        <v>3</v>
      </c>
      <c r="S70" s="8">
        <v>0</v>
      </c>
      <c r="T70" s="8">
        <v>0</v>
      </c>
      <c r="U70" s="8">
        <v>0</v>
      </c>
      <c r="V70" s="8">
        <v>0</v>
      </c>
      <c r="W70" s="11">
        <f>SUM(Table7811[[#This Row],[Bus ]:[Wheelchair]])</f>
        <v>3</v>
      </c>
    </row>
    <row r="71" spans="2:23" ht="19.2" x14ac:dyDescent="0.45">
      <c r="B71" s="8" t="s">
        <v>9</v>
      </c>
      <c r="C71" s="8" t="s">
        <v>28</v>
      </c>
      <c r="D71" s="8">
        <v>0</v>
      </c>
      <c r="E71" s="8">
        <v>0</v>
      </c>
      <c r="F71" s="8">
        <v>7</v>
      </c>
      <c r="G71" s="8">
        <v>0</v>
      </c>
      <c r="H71" s="8">
        <v>0</v>
      </c>
      <c r="I71" s="8">
        <v>0</v>
      </c>
      <c r="J71" s="8">
        <v>0</v>
      </c>
      <c r="K71" s="11">
        <f>SUM(Table6710[[#This Row],[Bus ]:[Wheelchair]])</f>
        <v>7</v>
      </c>
      <c r="L71" s="1"/>
      <c r="M71" s="1"/>
      <c r="N71" s="8" t="s">
        <v>9</v>
      </c>
      <c r="O71" s="8" t="s">
        <v>28</v>
      </c>
      <c r="P71" s="8">
        <v>0</v>
      </c>
      <c r="Q71" s="8">
        <v>12</v>
      </c>
      <c r="R71" s="8">
        <v>4</v>
      </c>
      <c r="S71" s="8">
        <v>0</v>
      </c>
      <c r="T71" s="8">
        <v>0</v>
      </c>
      <c r="U71" s="8">
        <v>0</v>
      </c>
      <c r="V71" s="8">
        <v>0</v>
      </c>
      <c r="W71" s="11">
        <f>SUM(Table7811[[#This Row],[Bus ]:[Wheelchair]])</f>
        <v>16</v>
      </c>
    </row>
    <row r="72" spans="2:23" ht="19.2" x14ac:dyDescent="0.45">
      <c r="B72" s="8" t="s">
        <v>30</v>
      </c>
      <c r="C72" s="8" t="s">
        <v>28</v>
      </c>
      <c r="D72" s="8">
        <v>0</v>
      </c>
      <c r="E72" s="8">
        <v>1</v>
      </c>
      <c r="F72" s="8">
        <v>1</v>
      </c>
      <c r="G72" s="8">
        <v>0</v>
      </c>
      <c r="H72" s="8">
        <v>0</v>
      </c>
      <c r="I72" s="8">
        <v>0</v>
      </c>
      <c r="J72" s="8">
        <v>0</v>
      </c>
      <c r="K72" s="11">
        <f>SUM(Table6710[[#This Row],[Bus ]:[Wheelchair]])</f>
        <v>2</v>
      </c>
      <c r="L72" s="1"/>
      <c r="M72" s="1"/>
      <c r="N72" s="8" t="s">
        <v>10</v>
      </c>
      <c r="O72" s="8" t="s">
        <v>28</v>
      </c>
      <c r="P72" s="8">
        <v>0</v>
      </c>
      <c r="Q72" s="8">
        <v>19</v>
      </c>
      <c r="R72" s="8">
        <v>39</v>
      </c>
      <c r="S72" s="8">
        <v>0</v>
      </c>
      <c r="T72" s="8">
        <v>0</v>
      </c>
      <c r="U72" s="8">
        <v>0</v>
      </c>
      <c r="V72" s="8">
        <v>0</v>
      </c>
      <c r="W72" s="11">
        <f>SUM(Table7811[[#This Row],[Bus ]:[Wheelchair]])</f>
        <v>58</v>
      </c>
    </row>
    <row r="73" spans="2:23" ht="19.2" x14ac:dyDescent="0.45">
      <c r="B73" s="8" t="s">
        <v>10</v>
      </c>
      <c r="C73" s="8" t="s">
        <v>28</v>
      </c>
      <c r="D73" s="8">
        <v>0</v>
      </c>
      <c r="E73" s="8">
        <v>24</v>
      </c>
      <c r="F73" s="8">
        <v>124</v>
      </c>
      <c r="G73" s="8">
        <v>0</v>
      </c>
      <c r="H73" s="8">
        <v>0</v>
      </c>
      <c r="I73" s="8">
        <v>4</v>
      </c>
      <c r="J73" s="8">
        <v>0</v>
      </c>
      <c r="K73" s="11">
        <f>SUM(Table6710[[#This Row],[Bus ]:[Wheelchair]])</f>
        <v>152</v>
      </c>
      <c r="L73" s="1"/>
      <c r="M73" s="1"/>
      <c r="N73" s="8" t="s">
        <v>11</v>
      </c>
      <c r="O73" s="8" t="s">
        <v>28</v>
      </c>
      <c r="P73" s="8">
        <v>0</v>
      </c>
      <c r="Q73" s="8">
        <v>18</v>
      </c>
      <c r="R73" s="8">
        <v>33</v>
      </c>
      <c r="S73" s="8">
        <v>0</v>
      </c>
      <c r="T73" s="8">
        <v>0</v>
      </c>
      <c r="U73" s="8">
        <v>0</v>
      </c>
      <c r="V73" s="8">
        <v>0</v>
      </c>
      <c r="W73" s="11">
        <f>SUM(Table7811[[#This Row],[Bus ]:[Wheelchair]])</f>
        <v>51</v>
      </c>
    </row>
    <row r="74" spans="2:23" ht="19.2" x14ac:dyDescent="0.45">
      <c r="B74" s="8" t="s">
        <v>11</v>
      </c>
      <c r="C74" s="8" t="s">
        <v>28</v>
      </c>
      <c r="D74" s="8">
        <v>0</v>
      </c>
      <c r="E74" s="8">
        <v>11</v>
      </c>
      <c r="F74" s="8">
        <v>48</v>
      </c>
      <c r="G74" s="8">
        <v>0</v>
      </c>
      <c r="H74" s="8">
        <v>0</v>
      </c>
      <c r="I74" s="8">
        <v>0</v>
      </c>
      <c r="J74" s="8">
        <v>0</v>
      </c>
      <c r="K74" s="11">
        <f>SUM(Table6710[[#This Row],[Bus ]:[Wheelchair]])</f>
        <v>59</v>
      </c>
      <c r="L74" s="1"/>
      <c r="M74" s="1"/>
      <c r="N74" s="8" t="s">
        <v>12</v>
      </c>
      <c r="O74" s="8" t="s">
        <v>28</v>
      </c>
      <c r="P74" s="8">
        <v>0</v>
      </c>
      <c r="Q74" s="8">
        <v>9</v>
      </c>
      <c r="R74" s="8">
        <v>0</v>
      </c>
      <c r="S74" s="8">
        <v>1</v>
      </c>
      <c r="T74" s="8">
        <v>0</v>
      </c>
      <c r="U74" s="8">
        <v>1</v>
      </c>
      <c r="V74" s="8">
        <v>0</v>
      </c>
      <c r="W74" s="11">
        <f>SUM(Table7811[[#This Row],[Bus ]:[Wheelchair]])</f>
        <v>11</v>
      </c>
    </row>
    <row r="75" spans="2:23" ht="19.2" x14ac:dyDescent="0.45">
      <c r="B75" s="8" t="s">
        <v>12</v>
      </c>
      <c r="C75" s="8" t="s">
        <v>28</v>
      </c>
      <c r="D75" s="8">
        <v>0</v>
      </c>
      <c r="E75" s="8">
        <v>6</v>
      </c>
      <c r="F75" s="8">
        <v>4</v>
      </c>
      <c r="G75" s="8">
        <v>0</v>
      </c>
      <c r="H75" s="8">
        <v>0</v>
      </c>
      <c r="I75" s="8">
        <v>2</v>
      </c>
      <c r="J75" s="8">
        <v>0</v>
      </c>
      <c r="K75" s="11">
        <f>SUM(Table6710[[#This Row],[Bus ]:[Wheelchair]])</f>
        <v>12</v>
      </c>
      <c r="L75" s="1"/>
      <c r="M75" s="1"/>
      <c r="N75" s="8" t="s">
        <v>13</v>
      </c>
      <c r="O75" s="8" t="s">
        <v>28</v>
      </c>
      <c r="P75" s="8">
        <v>1</v>
      </c>
      <c r="Q75" s="8">
        <v>398</v>
      </c>
      <c r="R75" s="8">
        <v>320</v>
      </c>
      <c r="S75" s="8">
        <v>2</v>
      </c>
      <c r="T75" s="8">
        <v>0</v>
      </c>
      <c r="U75" s="8">
        <v>11</v>
      </c>
      <c r="V75" s="8">
        <v>7</v>
      </c>
      <c r="W75" s="11">
        <f>SUM(Table7811[[#This Row],[Bus ]:[Wheelchair]])</f>
        <v>739</v>
      </c>
    </row>
    <row r="76" spans="2:23" ht="19.2" x14ac:dyDescent="0.45">
      <c r="B76" s="8" t="s">
        <v>13</v>
      </c>
      <c r="C76" s="8" t="s">
        <v>28</v>
      </c>
      <c r="D76" s="8">
        <v>0</v>
      </c>
      <c r="E76" s="8">
        <v>212</v>
      </c>
      <c r="F76" s="8">
        <v>208</v>
      </c>
      <c r="G76" s="8">
        <v>1</v>
      </c>
      <c r="H76" s="8">
        <v>0</v>
      </c>
      <c r="I76" s="8">
        <v>51</v>
      </c>
      <c r="J76" s="8">
        <v>1</v>
      </c>
      <c r="K76" s="11">
        <f>SUM(Table6710[[#This Row],[Bus ]:[Wheelchair]])</f>
        <v>473</v>
      </c>
      <c r="L76" s="1"/>
      <c r="M76" s="1"/>
      <c r="N76" s="8" t="s">
        <v>14</v>
      </c>
      <c r="O76" s="8" t="s">
        <v>28</v>
      </c>
      <c r="P76" s="8">
        <v>0</v>
      </c>
      <c r="Q76" s="8">
        <v>55</v>
      </c>
      <c r="R76" s="8">
        <v>4</v>
      </c>
      <c r="S76" s="8">
        <v>0</v>
      </c>
      <c r="T76" s="8">
        <v>0</v>
      </c>
      <c r="U76" s="8">
        <v>0</v>
      </c>
      <c r="V76" s="8">
        <v>2</v>
      </c>
      <c r="W76" s="11">
        <f>SUM(Table7811[[#This Row],[Bus ]:[Wheelchair]])</f>
        <v>61</v>
      </c>
    </row>
    <row r="77" spans="2:23" ht="19.2" x14ac:dyDescent="0.45">
      <c r="B77" s="8" t="s">
        <v>14</v>
      </c>
      <c r="C77" s="8" t="s">
        <v>28</v>
      </c>
      <c r="D77" s="8">
        <v>0</v>
      </c>
      <c r="E77" s="8">
        <v>50</v>
      </c>
      <c r="F77" s="8">
        <v>10</v>
      </c>
      <c r="G77" s="8">
        <v>0</v>
      </c>
      <c r="H77" s="8">
        <v>0</v>
      </c>
      <c r="I77" s="8">
        <v>0</v>
      </c>
      <c r="J77" s="8">
        <v>1</v>
      </c>
      <c r="K77" s="11">
        <f>SUM(Table6710[[#This Row],[Bus ]:[Wheelchair]])</f>
        <v>61</v>
      </c>
      <c r="L77" s="1"/>
      <c r="M77" s="1"/>
      <c r="N77" s="8" t="s">
        <v>15</v>
      </c>
      <c r="O77" s="8" t="s">
        <v>28</v>
      </c>
      <c r="P77" s="8">
        <v>199</v>
      </c>
      <c r="Q77" s="8">
        <v>578</v>
      </c>
      <c r="R77" s="8">
        <v>376</v>
      </c>
      <c r="S77" s="8">
        <v>8</v>
      </c>
      <c r="T77" s="8">
        <v>9</v>
      </c>
      <c r="U77" s="8">
        <v>19</v>
      </c>
      <c r="V77" s="8">
        <v>31</v>
      </c>
      <c r="W77" s="11">
        <f>SUM(Table7811[[#This Row],[Bus ]:[Wheelchair]])</f>
        <v>1220</v>
      </c>
    </row>
    <row r="78" spans="2:23" ht="19.2" x14ac:dyDescent="0.45">
      <c r="B78" s="8" t="s">
        <v>15</v>
      </c>
      <c r="C78" s="8" t="s">
        <v>28</v>
      </c>
      <c r="D78" s="8">
        <v>24</v>
      </c>
      <c r="E78" s="8">
        <v>1767</v>
      </c>
      <c r="F78" s="8">
        <v>376</v>
      </c>
      <c r="G78" s="8">
        <v>4</v>
      </c>
      <c r="H78" s="8">
        <v>4</v>
      </c>
      <c r="I78" s="8">
        <v>388</v>
      </c>
      <c r="J78" s="8">
        <v>83</v>
      </c>
      <c r="K78" s="11">
        <f>SUM(Table6710[[#This Row],[Bus ]:[Wheelchair]])</f>
        <v>2646</v>
      </c>
      <c r="L78" s="1"/>
      <c r="M78" s="1"/>
      <c r="N78" s="8" t="s">
        <v>16</v>
      </c>
      <c r="O78" s="8" t="s">
        <v>28</v>
      </c>
      <c r="P78" s="8">
        <v>0</v>
      </c>
      <c r="Q78" s="8">
        <v>8</v>
      </c>
      <c r="R78" s="8">
        <v>85</v>
      </c>
      <c r="S78" s="8">
        <v>0</v>
      </c>
      <c r="T78" s="8">
        <v>0</v>
      </c>
      <c r="U78" s="8">
        <v>0</v>
      </c>
      <c r="V78" s="8">
        <v>0</v>
      </c>
      <c r="W78" s="11">
        <f>SUM(Table7811[[#This Row],[Bus ]:[Wheelchair]])</f>
        <v>93</v>
      </c>
    </row>
    <row r="79" spans="2:23" ht="19.2" x14ac:dyDescent="0.45">
      <c r="B79" s="8" t="s">
        <v>21</v>
      </c>
      <c r="C79" s="8" t="s">
        <v>28</v>
      </c>
      <c r="D79" s="8">
        <v>0</v>
      </c>
      <c r="E79" s="8">
        <v>1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11">
        <f>SUM(Table6710[[#This Row],[Bus ]:[Wheelchair]])</f>
        <v>1</v>
      </c>
      <c r="L79" s="1"/>
      <c r="M79" s="1"/>
      <c r="N79" s="8" t="s">
        <v>21</v>
      </c>
      <c r="O79" s="8" t="s">
        <v>28</v>
      </c>
      <c r="P79" s="8">
        <v>0</v>
      </c>
      <c r="Q79" s="8">
        <v>26</v>
      </c>
      <c r="R79" s="8">
        <v>0</v>
      </c>
      <c r="S79" s="8">
        <v>0</v>
      </c>
      <c r="T79" s="8">
        <v>0</v>
      </c>
      <c r="U79" s="8">
        <v>1</v>
      </c>
      <c r="V79" s="8">
        <v>0</v>
      </c>
      <c r="W79" s="11">
        <f>SUM(Table7811[[#This Row],[Bus ]:[Wheelchair]])</f>
        <v>27</v>
      </c>
    </row>
    <row r="80" spans="2:23" ht="19.8" thickBot="1" x14ac:dyDescent="0.5">
      <c r="B80" s="8" t="s">
        <v>17</v>
      </c>
      <c r="C80" s="8" t="s">
        <v>28</v>
      </c>
      <c r="D80" s="8">
        <v>0</v>
      </c>
      <c r="E80" s="8">
        <v>5</v>
      </c>
      <c r="F80" s="8">
        <v>24</v>
      </c>
      <c r="G80" s="8">
        <v>0</v>
      </c>
      <c r="H80" s="8">
        <v>0</v>
      </c>
      <c r="I80" s="8">
        <v>0</v>
      </c>
      <c r="J80" s="8">
        <v>0</v>
      </c>
      <c r="K80" s="11">
        <f>SUM(Table6710[[#This Row],[Bus ]:[Wheelchair]])</f>
        <v>29</v>
      </c>
      <c r="L80" s="1"/>
      <c r="M80" s="1"/>
      <c r="N80" s="15" t="s">
        <v>17</v>
      </c>
      <c r="O80" s="15" t="s">
        <v>28</v>
      </c>
      <c r="P80" s="15">
        <v>0</v>
      </c>
      <c r="Q80" s="15">
        <v>5</v>
      </c>
      <c r="R80" s="15">
        <v>36</v>
      </c>
      <c r="S80" s="15">
        <v>0</v>
      </c>
      <c r="T80" s="15">
        <v>0</v>
      </c>
      <c r="U80" s="15">
        <v>0</v>
      </c>
      <c r="V80" s="15">
        <v>0</v>
      </c>
      <c r="W80" s="16">
        <f>SUM(Table7811[[#This Row],[Bus ]:[Wheelchair]])</f>
        <v>41</v>
      </c>
    </row>
    <row r="81" spans="2:23" ht="20.399999999999999" thickTop="1" thickBot="1" x14ac:dyDescent="0.5">
      <c r="B81" s="15" t="s">
        <v>16</v>
      </c>
      <c r="C81" s="15" t="s">
        <v>28</v>
      </c>
      <c r="D81" s="15">
        <v>0</v>
      </c>
      <c r="E81" s="15">
        <v>14</v>
      </c>
      <c r="F81" s="15">
        <v>58</v>
      </c>
      <c r="G81" s="15">
        <v>0</v>
      </c>
      <c r="H81" s="15">
        <v>0</v>
      </c>
      <c r="I81" s="15">
        <v>1</v>
      </c>
      <c r="J81" s="15">
        <v>0</v>
      </c>
      <c r="K81" s="16">
        <f>SUM(Table6710[[#This Row],[Bus ]:[Wheelchair]])</f>
        <v>73</v>
      </c>
      <c r="L81" s="1"/>
      <c r="M81" s="1"/>
      <c r="N81" s="8" t="s">
        <v>18</v>
      </c>
      <c r="O81" s="8" t="s">
        <v>29</v>
      </c>
      <c r="P81" s="8">
        <v>44040</v>
      </c>
      <c r="Q81" s="8">
        <v>12831</v>
      </c>
      <c r="R81" s="8">
        <v>5223</v>
      </c>
      <c r="S81" s="8">
        <v>47879</v>
      </c>
      <c r="T81" s="8">
        <v>660</v>
      </c>
      <c r="U81" s="8">
        <v>1243</v>
      </c>
      <c r="V81" s="8">
        <v>1590</v>
      </c>
      <c r="W81" s="11">
        <f>SUM(Table7811[[#This Row],[Bus ]:[Wheelchair]])</f>
        <v>113466</v>
      </c>
    </row>
    <row r="82" spans="2:23" ht="20.399999999999999" thickTop="1" thickBot="1" x14ac:dyDescent="0.5">
      <c r="B82" s="8" t="s">
        <v>19</v>
      </c>
      <c r="C82" s="8" t="s">
        <v>29</v>
      </c>
      <c r="D82" s="8">
        <v>452</v>
      </c>
      <c r="E82" s="8">
        <v>3306</v>
      </c>
      <c r="F82" s="8">
        <v>1225</v>
      </c>
      <c r="G82" s="8">
        <v>4083</v>
      </c>
      <c r="H82" s="8">
        <v>54</v>
      </c>
      <c r="I82" s="8">
        <v>1267</v>
      </c>
      <c r="J82" s="8">
        <v>462</v>
      </c>
      <c r="K82" s="1">
        <f>SUM(Table6710[[#This Row],[Bus ]:[Wheelchair]])</f>
        <v>10849</v>
      </c>
      <c r="L82" s="1"/>
      <c r="M82" s="1"/>
      <c r="N82" s="17" t="s">
        <v>19</v>
      </c>
      <c r="O82" s="17" t="s">
        <v>29</v>
      </c>
      <c r="P82" s="17">
        <v>761</v>
      </c>
      <c r="Q82" s="17">
        <v>3750</v>
      </c>
      <c r="R82" s="17">
        <v>949</v>
      </c>
      <c r="S82" s="17">
        <v>3560</v>
      </c>
      <c r="T82" s="17">
        <v>111</v>
      </c>
      <c r="U82" s="17">
        <v>134</v>
      </c>
      <c r="V82" s="17">
        <v>301</v>
      </c>
      <c r="W82" s="21">
        <f>SUM(Table7811[[#This Row],[Bus ]:[Wheelchair]])</f>
        <v>9566</v>
      </c>
    </row>
    <row r="83" spans="2:23" ht="19.8" thickBot="1" x14ac:dyDescent="0.5">
      <c r="B83" s="17" t="s">
        <v>18</v>
      </c>
      <c r="C83" s="17" t="s">
        <v>29</v>
      </c>
      <c r="D83" s="17">
        <v>38098</v>
      </c>
      <c r="E83" s="17">
        <v>6490</v>
      </c>
      <c r="F83" s="17">
        <v>6987</v>
      </c>
      <c r="G83" s="17">
        <v>45199</v>
      </c>
      <c r="H83" s="17">
        <v>967</v>
      </c>
      <c r="I83" s="17">
        <v>7510</v>
      </c>
      <c r="J83" s="17">
        <v>1535</v>
      </c>
      <c r="K83" s="21">
        <f>SUM(Table6710[[#This Row],[Bus ]:[Wheelchair]])</f>
        <v>106786</v>
      </c>
      <c r="L83" s="1"/>
      <c r="M83" s="1"/>
      <c r="N83" s="20" t="s">
        <v>20</v>
      </c>
      <c r="O83" s="20"/>
      <c r="P83" s="20">
        <f>SUBTOTAL(109,Table7811[[Bus ]])</f>
        <v>45053</v>
      </c>
      <c r="Q83" s="20">
        <f>SUBTOTAL(109,Table7811[Cab])</f>
        <v>19227</v>
      </c>
      <c r="R83" s="20">
        <f>SUBTOTAL(109,Table7811[GMR])</f>
        <v>7647</v>
      </c>
      <c r="S83" s="20">
        <f>SUBTOTAL(109,Table7811[Public Entity])</f>
        <v>52952</v>
      </c>
      <c r="T83" s="20">
        <f>SUBTOTAL(109,Table7811[Stretcher])</f>
        <v>788</v>
      </c>
      <c r="U83" s="20">
        <f>SUBTOTAL(109,Table7811[TNC Vendor])</f>
        <v>1446</v>
      </c>
      <c r="V83" s="20">
        <f>SUBTOTAL(109,Table7811[Wheelchair])</f>
        <v>2003</v>
      </c>
      <c r="W83" s="20">
        <f>SUBTOTAL(109,Table7811[Total])</f>
        <v>129116</v>
      </c>
    </row>
    <row r="84" spans="2:23" ht="19.2" x14ac:dyDescent="0.45">
      <c r="B84" s="19" t="s">
        <v>20</v>
      </c>
      <c r="C84" s="19"/>
      <c r="D84" s="19">
        <f>SUBTOTAL(109,Table6710[[Bus ]])</f>
        <v>38609</v>
      </c>
      <c r="E84" s="19">
        <f>SUBTOTAL(109,Table6710[Cab])</f>
        <v>13406</v>
      </c>
      <c r="F84" s="19">
        <f>SUBTOTAL(109,Table6710[GMR])</f>
        <v>9750</v>
      </c>
      <c r="G84" s="19">
        <f>SUBTOTAL(109,Table6710[Public Entity])</f>
        <v>50646</v>
      </c>
      <c r="H84" s="19">
        <f>SUBTOTAL(109,Table6710[Stretcher])</f>
        <v>1025</v>
      </c>
      <c r="I84" s="19">
        <f>SUBTOTAL(109,Table6710[TNC Vendor])</f>
        <v>9583</v>
      </c>
      <c r="J84" s="19">
        <f>SUBTOTAL(109,Table6710[Wheelchair])</f>
        <v>2117</v>
      </c>
      <c r="K84" s="19">
        <f>SUBTOTAL(109,Table6710[Total])</f>
        <v>125136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2:23" ht="19.2" x14ac:dyDescent="0.4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2:23" ht="19.2" x14ac:dyDescent="0.4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2:23" ht="19.2" x14ac:dyDescent="0.4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2:23" ht="19.2" x14ac:dyDescent="0.45">
      <c r="B88" s="34">
        <v>45383</v>
      </c>
      <c r="C88" s="34"/>
      <c r="D88" s="34"/>
      <c r="E88" s="35" t="s">
        <v>22</v>
      </c>
      <c r="F88" s="35"/>
      <c r="G88" s="35"/>
      <c r="H88" s="35"/>
      <c r="I88" s="35"/>
      <c r="J88" s="35"/>
      <c r="K88" s="35"/>
      <c r="L88" s="1"/>
      <c r="M88" s="1"/>
      <c r="N88" s="36">
        <v>45748</v>
      </c>
      <c r="O88" s="36"/>
      <c r="P88" s="36"/>
      <c r="Q88" s="37" t="s">
        <v>22</v>
      </c>
      <c r="R88" s="37"/>
      <c r="S88" s="37"/>
      <c r="T88" s="37"/>
      <c r="U88" s="37"/>
      <c r="V88" s="37"/>
      <c r="W88" s="37"/>
    </row>
    <row r="89" spans="2:23" ht="19.2" x14ac:dyDescent="0.45">
      <c r="B89" s="34"/>
      <c r="C89" s="34"/>
      <c r="D89" s="34"/>
      <c r="E89" s="35"/>
      <c r="F89" s="35"/>
      <c r="G89" s="35"/>
      <c r="H89" s="35"/>
      <c r="I89" s="35"/>
      <c r="J89" s="35"/>
      <c r="K89" s="35"/>
      <c r="L89" s="1"/>
      <c r="M89" s="1"/>
      <c r="N89" s="36"/>
      <c r="O89" s="36"/>
      <c r="P89" s="36"/>
      <c r="Q89" s="37"/>
      <c r="R89" s="37"/>
      <c r="S89" s="37"/>
      <c r="T89" s="37"/>
      <c r="U89" s="37"/>
      <c r="V89" s="37"/>
      <c r="W89" s="37"/>
    </row>
    <row r="90" spans="2:23" s="26" customFormat="1" ht="20.399999999999999" x14ac:dyDescent="0.45">
      <c r="B90" s="23" t="s">
        <v>23</v>
      </c>
      <c r="C90" s="23" t="s">
        <v>24</v>
      </c>
      <c r="D90" s="23" t="s">
        <v>25</v>
      </c>
      <c r="E90" s="23" t="s">
        <v>0</v>
      </c>
      <c r="F90" s="23" t="s">
        <v>26</v>
      </c>
      <c r="G90" s="23" t="s">
        <v>27</v>
      </c>
      <c r="H90" s="23" t="s">
        <v>1</v>
      </c>
      <c r="I90" s="23" t="s">
        <v>2</v>
      </c>
      <c r="J90" s="23" t="s">
        <v>3</v>
      </c>
      <c r="K90" s="23" t="s">
        <v>20</v>
      </c>
      <c r="L90" s="24"/>
      <c r="M90" s="24"/>
      <c r="N90" s="23" t="s">
        <v>23</v>
      </c>
      <c r="O90" s="23" t="s">
        <v>24</v>
      </c>
      <c r="P90" s="23" t="s">
        <v>25</v>
      </c>
      <c r="Q90" s="23" t="s">
        <v>0</v>
      </c>
      <c r="R90" s="23" t="s">
        <v>26</v>
      </c>
      <c r="S90" s="23" t="s">
        <v>27</v>
      </c>
      <c r="T90" s="23" t="s">
        <v>1</v>
      </c>
      <c r="U90" s="23" t="s">
        <v>2</v>
      </c>
      <c r="V90" s="23" t="s">
        <v>3</v>
      </c>
      <c r="W90" s="23" t="s">
        <v>20</v>
      </c>
    </row>
    <row r="91" spans="2:23" ht="19.2" x14ac:dyDescent="0.45">
      <c r="B91" s="8" t="s">
        <v>4</v>
      </c>
      <c r="C91" s="8" t="s">
        <v>28</v>
      </c>
      <c r="D91" s="8">
        <v>18</v>
      </c>
      <c r="E91" s="8">
        <v>614</v>
      </c>
      <c r="F91" s="8">
        <v>274</v>
      </c>
      <c r="G91" s="8">
        <v>691</v>
      </c>
      <c r="H91" s="8">
        <v>3</v>
      </c>
      <c r="I91" s="8">
        <v>137</v>
      </c>
      <c r="J91" s="8">
        <v>42</v>
      </c>
      <c r="K91" s="11">
        <f>SUM(Table671016[[#This Row],[Bus ]:[Wheelchair]])</f>
        <v>1779</v>
      </c>
      <c r="L91" s="1"/>
      <c r="M91" s="1"/>
      <c r="N91" s="8" t="s">
        <v>4</v>
      </c>
      <c r="O91" s="8" t="s">
        <v>28</v>
      </c>
      <c r="P91" s="8">
        <v>44</v>
      </c>
      <c r="Q91" s="8">
        <v>933</v>
      </c>
      <c r="R91" s="8">
        <v>170</v>
      </c>
      <c r="S91" s="8">
        <v>565</v>
      </c>
      <c r="T91" s="8">
        <v>0</v>
      </c>
      <c r="U91" s="8">
        <v>7</v>
      </c>
      <c r="V91" s="8">
        <v>65</v>
      </c>
      <c r="W91" s="11">
        <f>SUM(Table781117[[#This Row],[Bus ]:[Wheelchair]])</f>
        <v>1784</v>
      </c>
    </row>
    <row r="92" spans="2:23" ht="19.2" x14ac:dyDescent="0.45">
      <c r="B92" s="8" t="s">
        <v>5</v>
      </c>
      <c r="C92" s="8" t="s">
        <v>28</v>
      </c>
      <c r="D92" s="8">
        <v>0</v>
      </c>
      <c r="E92" s="8">
        <v>314</v>
      </c>
      <c r="F92" s="8">
        <v>165</v>
      </c>
      <c r="G92" s="8">
        <v>3</v>
      </c>
      <c r="H92" s="8">
        <v>0</v>
      </c>
      <c r="I92" s="8">
        <v>165</v>
      </c>
      <c r="J92" s="8">
        <v>4</v>
      </c>
      <c r="K92" s="11">
        <f>SUM(Table671016[[#This Row],[Bus ]:[Wheelchair]])</f>
        <v>651</v>
      </c>
      <c r="L92" s="1"/>
      <c r="M92" s="1"/>
      <c r="N92" s="8" t="s">
        <v>5</v>
      </c>
      <c r="O92" s="8" t="s">
        <v>28</v>
      </c>
      <c r="P92" s="8">
        <v>2</v>
      </c>
      <c r="Q92" s="8">
        <v>343</v>
      </c>
      <c r="R92" s="8">
        <v>128</v>
      </c>
      <c r="S92" s="8">
        <v>0</v>
      </c>
      <c r="T92" s="8">
        <v>1</v>
      </c>
      <c r="U92" s="8">
        <v>5</v>
      </c>
      <c r="V92" s="8">
        <v>3</v>
      </c>
      <c r="W92" s="11">
        <f>SUM(Table781117[[#This Row],[Bus ]:[Wheelchair]])</f>
        <v>482</v>
      </c>
    </row>
    <row r="93" spans="2:23" ht="19.2" x14ac:dyDescent="0.45">
      <c r="B93" s="8" t="s">
        <v>6</v>
      </c>
      <c r="C93" s="8" t="s">
        <v>28</v>
      </c>
      <c r="D93" s="8">
        <v>0</v>
      </c>
      <c r="E93" s="8">
        <v>236</v>
      </c>
      <c r="F93" s="8">
        <v>131</v>
      </c>
      <c r="G93" s="8">
        <v>7</v>
      </c>
      <c r="H93" s="8">
        <v>0</v>
      </c>
      <c r="I93" s="8">
        <v>61</v>
      </c>
      <c r="J93" s="8">
        <v>4</v>
      </c>
      <c r="K93" s="11">
        <f>SUM(Table671016[[#This Row],[Bus ]:[Wheelchair]])</f>
        <v>439</v>
      </c>
      <c r="L93" s="1"/>
      <c r="M93" s="1"/>
      <c r="N93" s="8" t="s">
        <v>6</v>
      </c>
      <c r="O93" s="8" t="s">
        <v>28</v>
      </c>
      <c r="P93" s="8">
        <v>0</v>
      </c>
      <c r="Q93" s="8">
        <v>330</v>
      </c>
      <c r="R93" s="8">
        <v>140</v>
      </c>
      <c r="S93" s="8">
        <v>0</v>
      </c>
      <c r="T93" s="8">
        <v>0</v>
      </c>
      <c r="U93" s="8">
        <v>7</v>
      </c>
      <c r="V93" s="8">
        <v>20</v>
      </c>
      <c r="W93" s="11">
        <f>SUM(Table781117[[#This Row],[Bus ]:[Wheelchair]])</f>
        <v>497</v>
      </c>
    </row>
    <row r="94" spans="2:23" ht="19.2" x14ac:dyDescent="0.45">
      <c r="B94" s="8" t="s">
        <v>7</v>
      </c>
      <c r="C94" s="8" t="s">
        <v>28</v>
      </c>
      <c r="D94" s="8">
        <v>0</v>
      </c>
      <c r="E94" s="8">
        <v>354</v>
      </c>
      <c r="F94" s="8">
        <v>159</v>
      </c>
      <c r="G94" s="8">
        <v>948</v>
      </c>
      <c r="H94" s="8">
        <v>0</v>
      </c>
      <c r="I94" s="8">
        <v>13</v>
      </c>
      <c r="J94" s="8">
        <v>6</v>
      </c>
      <c r="K94" s="11">
        <f>SUM(Table671016[[#This Row],[Bus ]:[Wheelchair]])</f>
        <v>1480</v>
      </c>
      <c r="L94" s="1"/>
      <c r="M94" s="1"/>
      <c r="N94" s="8" t="s">
        <v>7</v>
      </c>
      <c r="O94" s="8" t="s">
        <v>28</v>
      </c>
      <c r="P94" s="8">
        <v>0</v>
      </c>
      <c r="Q94" s="8">
        <v>95</v>
      </c>
      <c r="R94" s="8">
        <v>197</v>
      </c>
      <c r="S94" s="8">
        <v>1077</v>
      </c>
      <c r="T94" s="8">
        <v>0</v>
      </c>
      <c r="U94" s="8">
        <v>1</v>
      </c>
      <c r="V94" s="8">
        <v>6</v>
      </c>
      <c r="W94" s="11">
        <f>SUM(Table781117[[#This Row],[Bus ]:[Wheelchair]])</f>
        <v>1376</v>
      </c>
    </row>
    <row r="95" spans="2:23" ht="19.2" x14ac:dyDescent="0.45">
      <c r="B95" s="8" t="s">
        <v>8</v>
      </c>
      <c r="C95" s="8" t="s">
        <v>28</v>
      </c>
      <c r="D95" s="8">
        <v>0</v>
      </c>
      <c r="E95" s="8">
        <v>17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11">
        <f>SUM(Table671016[[#This Row],[Bus ]:[Wheelchair]])</f>
        <v>17</v>
      </c>
      <c r="L95" s="1"/>
      <c r="M95" s="1"/>
      <c r="N95" s="8" t="s">
        <v>7</v>
      </c>
      <c r="O95" s="8" t="s">
        <v>28</v>
      </c>
      <c r="P95" s="8">
        <v>0</v>
      </c>
      <c r="Q95" s="8">
        <v>0</v>
      </c>
      <c r="R95" s="8">
        <v>6</v>
      </c>
      <c r="S95" s="8">
        <v>0</v>
      </c>
      <c r="T95" s="8">
        <v>0</v>
      </c>
      <c r="U95" s="8">
        <v>0</v>
      </c>
      <c r="V95" s="8">
        <v>0</v>
      </c>
      <c r="W95" s="11">
        <f>SUM(Table781117[[#This Row],[Bus ]:[Wheelchair]])</f>
        <v>6</v>
      </c>
    </row>
    <row r="96" spans="2:23" ht="19.2" x14ac:dyDescent="0.45">
      <c r="B96" s="8" t="s">
        <v>9</v>
      </c>
      <c r="C96" s="8" t="s">
        <v>28</v>
      </c>
      <c r="D96" s="8">
        <v>0</v>
      </c>
      <c r="E96" s="8">
        <v>2</v>
      </c>
      <c r="F96" s="8">
        <v>5</v>
      </c>
      <c r="G96" s="8">
        <v>0</v>
      </c>
      <c r="H96" s="8">
        <v>0</v>
      </c>
      <c r="I96" s="8">
        <v>0</v>
      </c>
      <c r="J96" s="8">
        <v>0</v>
      </c>
      <c r="K96" s="11">
        <f>SUM(Table671016[[#This Row],[Bus ]:[Wheelchair]])</f>
        <v>7</v>
      </c>
      <c r="L96" s="1"/>
      <c r="M96" s="1"/>
      <c r="N96" s="8" t="s">
        <v>9</v>
      </c>
      <c r="O96" s="8" t="s">
        <v>28</v>
      </c>
      <c r="P96" s="8">
        <v>0</v>
      </c>
      <c r="Q96" s="8">
        <v>17</v>
      </c>
      <c r="R96" s="8">
        <v>5</v>
      </c>
      <c r="S96" s="8">
        <v>0</v>
      </c>
      <c r="T96" s="8">
        <v>0</v>
      </c>
      <c r="U96" s="8">
        <v>1</v>
      </c>
      <c r="V96" s="8">
        <v>0</v>
      </c>
      <c r="W96" s="11">
        <f>SUM(Table781117[[#This Row],[Bus ]:[Wheelchair]])</f>
        <v>23</v>
      </c>
    </row>
    <row r="97" spans="2:23" ht="19.2" x14ac:dyDescent="0.45">
      <c r="B97" s="8" t="s">
        <v>10</v>
      </c>
      <c r="C97" s="8" t="s">
        <v>28</v>
      </c>
      <c r="D97" s="8">
        <v>0</v>
      </c>
      <c r="E97" s="8">
        <v>13</v>
      </c>
      <c r="F97" s="8">
        <v>152</v>
      </c>
      <c r="G97" s="8">
        <v>0</v>
      </c>
      <c r="H97" s="8">
        <v>0</v>
      </c>
      <c r="I97" s="8">
        <v>4</v>
      </c>
      <c r="J97" s="8">
        <v>0</v>
      </c>
      <c r="K97" s="11">
        <f>SUM(Table671016[[#This Row],[Bus ]:[Wheelchair]])</f>
        <v>169</v>
      </c>
      <c r="L97" s="1"/>
      <c r="M97" s="1"/>
      <c r="N97" s="8" t="s">
        <v>30</v>
      </c>
      <c r="O97" s="8" t="s">
        <v>28</v>
      </c>
      <c r="P97" s="8">
        <v>0</v>
      </c>
      <c r="Q97" s="8">
        <v>6</v>
      </c>
      <c r="R97" s="8">
        <v>0</v>
      </c>
      <c r="S97" s="8">
        <v>0</v>
      </c>
      <c r="T97" s="8">
        <v>0</v>
      </c>
      <c r="U97" s="8">
        <v>7</v>
      </c>
      <c r="V97" s="8">
        <v>0</v>
      </c>
      <c r="W97" s="11">
        <f>SUM(Table781117[[#This Row],[Bus ]:[Wheelchair]])</f>
        <v>13</v>
      </c>
    </row>
    <row r="98" spans="2:23" ht="19.2" x14ac:dyDescent="0.45">
      <c r="B98" s="8" t="s">
        <v>11</v>
      </c>
      <c r="C98" s="8" t="s">
        <v>28</v>
      </c>
      <c r="D98" s="8">
        <v>0</v>
      </c>
      <c r="E98" s="8">
        <v>7</v>
      </c>
      <c r="F98" s="8">
        <v>37</v>
      </c>
      <c r="G98" s="8">
        <v>0</v>
      </c>
      <c r="H98" s="8">
        <v>0</v>
      </c>
      <c r="I98" s="8">
        <v>5</v>
      </c>
      <c r="J98" s="8">
        <v>0</v>
      </c>
      <c r="K98" s="11">
        <f>SUM(Table671016[[#This Row],[Bus ]:[Wheelchair]])</f>
        <v>49</v>
      </c>
      <c r="L98" s="1"/>
      <c r="M98" s="1"/>
      <c r="N98" s="8" t="s">
        <v>10</v>
      </c>
      <c r="O98" s="8" t="s">
        <v>28</v>
      </c>
      <c r="P98" s="8">
        <v>0</v>
      </c>
      <c r="Q98" s="8">
        <v>13</v>
      </c>
      <c r="R98" s="8">
        <v>51</v>
      </c>
      <c r="S98" s="8">
        <v>0</v>
      </c>
      <c r="T98" s="8">
        <v>0</v>
      </c>
      <c r="U98" s="8">
        <v>0</v>
      </c>
      <c r="V98" s="8">
        <v>2</v>
      </c>
      <c r="W98" s="11">
        <f>SUM(Table781117[[#This Row],[Bus ]:[Wheelchair]])</f>
        <v>66</v>
      </c>
    </row>
    <row r="99" spans="2:23" ht="19.2" x14ac:dyDescent="0.45">
      <c r="B99" s="8" t="s">
        <v>12</v>
      </c>
      <c r="C99" s="8" t="s">
        <v>28</v>
      </c>
      <c r="D99" s="8">
        <v>0</v>
      </c>
      <c r="E99" s="8">
        <v>6</v>
      </c>
      <c r="F99" s="8">
        <v>6</v>
      </c>
      <c r="G99" s="8">
        <v>0</v>
      </c>
      <c r="H99" s="8">
        <v>0</v>
      </c>
      <c r="I99" s="8">
        <v>0</v>
      </c>
      <c r="J99" s="8">
        <v>0</v>
      </c>
      <c r="K99" s="11">
        <f>SUM(Table671016[[#This Row],[Bus ]:[Wheelchair]])</f>
        <v>12</v>
      </c>
      <c r="L99" s="1"/>
      <c r="M99" s="1"/>
      <c r="N99" s="8" t="s">
        <v>11</v>
      </c>
      <c r="O99" s="8" t="s">
        <v>28</v>
      </c>
      <c r="P99" s="8">
        <v>0</v>
      </c>
      <c r="Q99" s="8">
        <v>2</v>
      </c>
      <c r="R99" s="8">
        <v>47</v>
      </c>
      <c r="S99" s="8">
        <v>0</v>
      </c>
      <c r="T99" s="8">
        <v>0</v>
      </c>
      <c r="U99" s="8">
        <v>0</v>
      </c>
      <c r="V99" s="8">
        <v>0</v>
      </c>
      <c r="W99" s="11">
        <f>SUM(Table781117[[#This Row],[Bus ]:[Wheelchair]])</f>
        <v>49</v>
      </c>
    </row>
    <row r="100" spans="2:23" ht="19.2" x14ac:dyDescent="0.45">
      <c r="B100" s="8" t="s">
        <v>13</v>
      </c>
      <c r="C100" s="8" t="s">
        <v>28</v>
      </c>
      <c r="D100" s="8">
        <v>2</v>
      </c>
      <c r="E100" s="8">
        <v>261</v>
      </c>
      <c r="F100" s="8">
        <v>246</v>
      </c>
      <c r="G100" s="8">
        <v>4</v>
      </c>
      <c r="H100" s="8">
        <v>0</v>
      </c>
      <c r="I100" s="8">
        <v>115</v>
      </c>
      <c r="J100" s="8">
        <v>9</v>
      </c>
      <c r="K100" s="11">
        <f>SUM(Table671016[[#This Row],[Bus ]:[Wheelchair]])</f>
        <v>637</v>
      </c>
      <c r="L100" s="1"/>
      <c r="M100" s="1"/>
      <c r="N100" s="8" t="s">
        <v>12</v>
      </c>
      <c r="O100" s="8" t="s">
        <v>28</v>
      </c>
      <c r="P100" s="8">
        <v>0</v>
      </c>
      <c r="Q100" s="8">
        <v>4</v>
      </c>
      <c r="R100" s="8">
        <v>1</v>
      </c>
      <c r="S100" s="8">
        <v>0</v>
      </c>
      <c r="T100" s="8">
        <v>0</v>
      </c>
      <c r="U100" s="8">
        <v>0</v>
      </c>
      <c r="V100" s="8">
        <v>0</v>
      </c>
      <c r="W100" s="11">
        <f>SUM(Table781117[[#This Row],[Bus ]:[Wheelchair]])</f>
        <v>5</v>
      </c>
    </row>
    <row r="101" spans="2:23" ht="19.2" x14ac:dyDescent="0.45">
      <c r="B101" s="8" t="s">
        <v>14</v>
      </c>
      <c r="C101" s="8" t="s">
        <v>28</v>
      </c>
      <c r="D101" s="8">
        <v>0</v>
      </c>
      <c r="E101" s="8">
        <v>84</v>
      </c>
      <c r="F101" s="8">
        <v>5</v>
      </c>
      <c r="G101" s="8">
        <v>0</v>
      </c>
      <c r="H101" s="8">
        <v>0</v>
      </c>
      <c r="I101" s="8">
        <v>2</v>
      </c>
      <c r="J101" s="8">
        <v>0</v>
      </c>
      <c r="K101" s="11">
        <f>SUM(Table671016[[#This Row],[Bus ]:[Wheelchair]])</f>
        <v>91</v>
      </c>
      <c r="L101" s="1"/>
      <c r="M101" s="1"/>
      <c r="N101" s="8" t="s">
        <v>13</v>
      </c>
      <c r="O101" s="8" t="s">
        <v>28</v>
      </c>
      <c r="P101" s="8">
        <v>0</v>
      </c>
      <c r="Q101" s="8">
        <v>409</v>
      </c>
      <c r="R101" s="8">
        <v>386</v>
      </c>
      <c r="S101" s="8">
        <v>1</v>
      </c>
      <c r="T101" s="8">
        <v>1</v>
      </c>
      <c r="U101" s="8">
        <v>12</v>
      </c>
      <c r="V101" s="8">
        <v>5</v>
      </c>
      <c r="W101" s="11">
        <f>SUM(Table781117[[#This Row],[Bus ]:[Wheelchair]])</f>
        <v>814</v>
      </c>
    </row>
    <row r="102" spans="2:23" ht="19.2" x14ac:dyDescent="0.45">
      <c r="B102" s="8" t="s">
        <v>15</v>
      </c>
      <c r="C102" s="8" t="s">
        <v>28</v>
      </c>
      <c r="D102" s="8">
        <v>40</v>
      </c>
      <c r="E102" s="8">
        <v>1711</v>
      </c>
      <c r="F102" s="8">
        <v>396</v>
      </c>
      <c r="G102" s="8">
        <v>6</v>
      </c>
      <c r="H102" s="8">
        <v>5</v>
      </c>
      <c r="I102" s="8">
        <v>378</v>
      </c>
      <c r="J102" s="8">
        <v>87</v>
      </c>
      <c r="K102" s="11">
        <f>SUM(Table671016[[#This Row],[Bus ]:[Wheelchair]])</f>
        <v>2623</v>
      </c>
      <c r="L102" s="1"/>
      <c r="M102" s="1"/>
      <c r="N102" s="8" t="s">
        <v>14</v>
      </c>
      <c r="O102" s="8" t="s">
        <v>28</v>
      </c>
      <c r="P102" s="8">
        <v>0</v>
      </c>
      <c r="Q102" s="8">
        <v>108</v>
      </c>
      <c r="R102" s="8">
        <v>17</v>
      </c>
      <c r="S102" s="8">
        <v>0</v>
      </c>
      <c r="T102" s="8">
        <v>0</v>
      </c>
      <c r="U102" s="8">
        <v>0</v>
      </c>
      <c r="V102" s="8">
        <v>3</v>
      </c>
      <c r="W102" s="11">
        <f>SUM(Table781117[[#This Row],[Bus ]:[Wheelchair]])</f>
        <v>128</v>
      </c>
    </row>
    <row r="103" spans="2:23" ht="19.2" x14ac:dyDescent="0.45">
      <c r="B103" s="8" t="s">
        <v>16</v>
      </c>
      <c r="C103" s="8" t="s">
        <v>28</v>
      </c>
      <c r="D103" s="8">
        <v>0</v>
      </c>
      <c r="E103" s="8">
        <v>19</v>
      </c>
      <c r="F103" s="8">
        <v>62</v>
      </c>
      <c r="G103" s="8">
        <v>0</v>
      </c>
      <c r="H103" s="8">
        <v>0</v>
      </c>
      <c r="I103" s="8">
        <v>1</v>
      </c>
      <c r="J103" s="8">
        <v>1</v>
      </c>
      <c r="K103" s="11">
        <f>SUM(Table671016[[#This Row],[Bus ]:[Wheelchair]])</f>
        <v>83</v>
      </c>
      <c r="L103" s="1"/>
      <c r="M103" s="1"/>
      <c r="N103" s="8" t="s">
        <v>15</v>
      </c>
      <c r="O103" s="8" t="s">
        <v>28</v>
      </c>
      <c r="P103" s="8">
        <v>229</v>
      </c>
      <c r="Q103" s="8">
        <v>606</v>
      </c>
      <c r="R103" s="8">
        <v>389</v>
      </c>
      <c r="S103" s="8">
        <v>10</v>
      </c>
      <c r="T103" s="8">
        <v>6</v>
      </c>
      <c r="U103" s="8">
        <v>30</v>
      </c>
      <c r="V103" s="8">
        <v>39</v>
      </c>
      <c r="W103" s="11">
        <f>SUM(Table781117[[#This Row],[Bus ]:[Wheelchair]])</f>
        <v>1309</v>
      </c>
    </row>
    <row r="104" spans="2:23" ht="19.8" thickBot="1" x14ac:dyDescent="0.5">
      <c r="B104" s="15" t="s">
        <v>17</v>
      </c>
      <c r="C104" s="15" t="s">
        <v>28</v>
      </c>
      <c r="D104" s="15">
        <v>0</v>
      </c>
      <c r="E104" s="15">
        <v>7</v>
      </c>
      <c r="F104" s="15">
        <v>35</v>
      </c>
      <c r="G104" s="15">
        <v>0</v>
      </c>
      <c r="H104" s="15">
        <v>0</v>
      </c>
      <c r="I104" s="15">
        <v>0</v>
      </c>
      <c r="J104" s="15">
        <v>0</v>
      </c>
      <c r="K104" s="16">
        <f>SUM(Table671016[[#This Row],[Bus ]:[Wheelchair]])</f>
        <v>42</v>
      </c>
      <c r="L104" s="1"/>
      <c r="M104" s="1"/>
      <c r="N104" s="8" t="s">
        <v>16</v>
      </c>
      <c r="O104" s="8" t="s">
        <v>28</v>
      </c>
      <c r="P104" s="8">
        <v>0</v>
      </c>
      <c r="Q104" s="8">
        <v>5</v>
      </c>
      <c r="R104" s="8">
        <v>71</v>
      </c>
      <c r="S104" s="8">
        <v>0</v>
      </c>
      <c r="T104" s="8">
        <v>0</v>
      </c>
      <c r="U104" s="8">
        <v>0</v>
      </c>
      <c r="V104" s="8">
        <v>0</v>
      </c>
      <c r="W104" s="11">
        <f>SUM(Table781117[[#This Row],[Bus ]:[Wheelchair]])</f>
        <v>76</v>
      </c>
    </row>
    <row r="105" spans="2:23" ht="20.399999999999999" thickTop="1" thickBot="1" x14ac:dyDescent="0.5">
      <c r="B105" s="8" t="s">
        <v>18</v>
      </c>
      <c r="C105" s="8" t="s">
        <v>29</v>
      </c>
      <c r="D105" s="8">
        <v>37547</v>
      </c>
      <c r="E105" s="8">
        <v>6067</v>
      </c>
      <c r="F105" s="8">
        <v>6923</v>
      </c>
      <c r="G105" s="8">
        <v>45580</v>
      </c>
      <c r="H105" s="8">
        <v>714</v>
      </c>
      <c r="I105" s="8">
        <v>7781</v>
      </c>
      <c r="J105" s="8">
        <v>1419</v>
      </c>
      <c r="K105" s="11">
        <f>SUM(Table671016[[#This Row],[Bus ]:[Wheelchair]])</f>
        <v>106031</v>
      </c>
      <c r="L105" s="1"/>
      <c r="M105" s="1"/>
      <c r="N105" s="15" t="s">
        <v>17</v>
      </c>
      <c r="O105" s="15" t="s">
        <v>28</v>
      </c>
      <c r="P105" s="15">
        <v>0</v>
      </c>
      <c r="Q105" s="15">
        <v>8</v>
      </c>
      <c r="R105" s="15">
        <v>31</v>
      </c>
      <c r="S105" s="15">
        <v>1</v>
      </c>
      <c r="T105" s="15">
        <v>0</v>
      </c>
      <c r="U105" s="15">
        <v>0</v>
      </c>
      <c r="V105" s="15">
        <v>0</v>
      </c>
      <c r="W105" s="16">
        <f>SUM(Table781117[[#This Row],[Bus ]:[Wheelchair]])</f>
        <v>40</v>
      </c>
    </row>
    <row r="106" spans="2:23" ht="20.399999999999999" thickTop="1" thickBot="1" x14ac:dyDescent="0.5">
      <c r="B106" s="17" t="s">
        <v>19</v>
      </c>
      <c r="C106" s="17" t="s">
        <v>29</v>
      </c>
      <c r="D106" s="17">
        <v>440</v>
      </c>
      <c r="E106" s="17">
        <v>3248</v>
      </c>
      <c r="F106" s="17">
        <v>1208</v>
      </c>
      <c r="G106" s="17">
        <v>3965</v>
      </c>
      <c r="H106" s="17">
        <v>88</v>
      </c>
      <c r="I106" s="17">
        <v>1000</v>
      </c>
      <c r="J106" s="17">
        <v>412</v>
      </c>
      <c r="K106" s="18">
        <f>SUM(Table671016[[#This Row],[Bus ]:[Wheelchair]])</f>
        <v>10361</v>
      </c>
      <c r="L106" s="1"/>
      <c r="M106" s="1"/>
      <c r="N106" s="8" t="s">
        <v>18</v>
      </c>
      <c r="O106" s="8" t="s">
        <v>29</v>
      </c>
      <c r="P106" s="8">
        <v>55351</v>
      </c>
      <c r="Q106" s="8">
        <v>14999</v>
      </c>
      <c r="R106" s="8">
        <v>5677</v>
      </c>
      <c r="S106" s="8">
        <v>52876</v>
      </c>
      <c r="T106" s="8">
        <v>658</v>
      </c>
      <c r="U106" s="8">
        <v>967</v>
      </c>
      <c r="V106" s="8">
        <v>1431</v>
      </c>
      <c r="W106" s="11">
        <f>SUM(Table781117[[#This Row],[Bus ]:[Wheelchair]])</f>
        <v>131959</v>
      </c>
    </row>
    <row r="107" spans="2:23" ht="19.8" thickBot="1" x14ac:dyDescent="0.5">
      <c r="B107" s="19" t="s">
        <v>20</v>
      </c>
      <c r="C107" s="19"/>
      <c r="D107" s="19">
        <f>SUBTOTAL(109,Table671016[[Bus ]])</f>
        <v>38047</v>
      </c>
      <c r="E107" s="19">
        <f>SUBTOTAL(109,Table671016[Cab])</f>
        <v>12960</v>
      </c>
      <c r="F107" s="19">
        <f>SUBTOTAL(109,Table671016[GMR])</f>
        <v>9804</v>
      </c>
      <c r="G107" s="19">
        <f>SUBTOTAL(109,Table671016[Public Entity])</f>
        <v>51204</v>
      </c>
      <c r="H107" s="19">
        <f>SUBTOTAL(109,Table671016[Stretcher])</f>
        <v>810</v>
      </c>
      <c r="I107" s="19">
        <f>SUBTOTAL(109,Table671016[TNC Vendor])</f>
        <v>9662</v>
      </c>
      <c r="J107" s="19">
        <f>SUBTOTAL(109,Table671016[Wheelchair])</f>
        <v>1984</v>
      </c>
      <c r="K107" s="19">
        <f>SUBTOTAL(109,Table671016[Total])</f>
        <v>124471</v>
      </c>
      <c r="L107" s="1"/>
      <c r="M107" s="1"/>
      <c r="N107" s="17" t="s">
        <v>19</v>
      </c>
      <c r="O107" s="17" t="s">
        <v>29</v>
      </c>
      <c r="P107" s="17">
        <v>639</v>
      </c>
      <c r="Q107" s="17">
        <v>4573</v>
      </c>
      <c r="R107" s="17">
        <v>1079</v>
      </c>
      <c r="S107" s="17">
        <v>3699</v>
      </c>
      <c r="T107" s="17">
        <v>88</v>
      </c>
      <c r="U107" s="17">
        <v>126</v>
      </c>
      <c r="V107" s="17">
        <v>353</v>
      </c>
      <c r="W107" s="21">
        <f>SUM(Table781117[[#This Row],[Bus ]:[Wheelchair]])</f>
        <v>10557</v>
      </c>
    </row>
    <row r="108" spans="2:23" ht="19.2" x14ac:dyDescent="0.4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0" t="s">
        <v>20</v>
      </c>
      <c r="O108" s="20"/>
      <c r="P108" s="20">
        <f>SUBTOTAL(109,Table781117[[Bus ]])</f>
        <v>56265</v>
      </c>
      <c r="Q108" s="20">
        <f>SUBTOTAL(109,Table781117[Cab])</f>
        <v>22451</v>
      </c>
      <c r="R108" s="20">
        <f>SUBTOTAL(109,Table781117[GMR])</f>
        <v>8395</v>
      </c>
      <c r="S108" s="20">
        <f>SUBTOTAL(109,Table781117[Public Entity])</f>
        <v>58229</v>
      </c>
      <c r="T108" s="20">
        <f>SUBTOTAL(109,Table781117[Stretcher])</f>
        <v>754</v>
      </c>
      <c r="U108" s="20">
        <f>SUBTOTAL(109,Table781117[TNC Vendor])</f>
        <v>1163</v>
      </c>
      <c r="V108" s="20">
        <f>SUBTOTAL(109,Table781117[Wheelchair])</f>
        <v>1927</v>
      </c>
      <c r="W108" s="20">
        <f>SUBTOTAL(109,Table781117[Total])</f>
        <v>149184</v>
      </c>
    </row>
    <row r="109" spans="2:23" ht="19.2" x14ac:dyDescent="0.4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2:23" ht="19.2" x14ac:dyDescent="0.4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2:23" ht="19.2" x14ac:dyDescent="0.45">
      <c r="B111" s="34">
        <v>45413</v>
      </c>
      <c r="C111" s="34"/>
      <c r="D111" s="34"/>
      <c r="E111" s="35" t="s">
        <v>22</v>
      </c>
      <c r="F111" s="35"/>
      <c r="G111" s="35"/>
      <c r="H111" s="35"/>
      <c r="I111" s="35"/>
      <c r="J111" s="35"/>
      <c r="K111" s="35"/>
      <c r="L111" s="1"/>
      <c r="M111" s="1"/>
      <c r="N111" s="36">
        <v>45778</v>
      </c>
      <c r="O111" s="36"/>
      <c r="P111" s="36"/>
      <c r="Q111" s="37" t="s">
        <v>22</v>
      </c>
      <c r="R111" s="37"/>
      <c r="S111" s="37"/>
      <c r="T111" s="37"/>
      <c r="U111" s="37"/>
      <c r="V111" s="37"/>
      <c r="W111" s="37"/>
    </row>
    <row r="112" spans="2:23" ht="19.2" x14ac:dyDescent="0.45">
      <c r="B112" s="34"/>
      <c r="C112" s="34"/>
      <c r="D112" s="34"/>
      <c r="E112" s="35"/>
      <c r="F112" s="35"/>
      <c r="G112" s="35"/>
      <c r="H112" s="35"/>
      <c r="I112" s="35"/>
      <c r="J112" s="35"/>
      <c r="K112" s="35"/>
      <c r="L112" s="1"/>
      <c r="M112" s="1"/>
      <c r="N112" s="36"/>
      <c r="O112" s="36"/>
      <c r="P112" s="36"/>
      <c r="Q112" s="37"/>
      <c r="R112" s="37"/>
      <c r="S112" s="37"/>
      <c r="T112" s="37"/>
      <c r="U112" s="37"/>
      <c r="V112" s="37"/>
      <c r="W112" s="37"/>
    </row>
    <row r="113" spans="2:23" s="26" customFormat="1" ht="20.399999999999999" x14ac:dyDescent="0.45">
      <c r="B113" s="23" t="s">
        <v>23</v>
      </c>
      <c r="C113" s="23" t="s">
        <v>24</v>
      </c>
      <c r="D113" s="23" t="s">
        <v>25</v>
      </c>
      <c r="E113" s="23" t="s">
        <v>0</v>
      </c>
      <c r="F113" s="23" t="s">
        <v>26</v>
      </c>
      <c r="G113" s="23" t="s">
        <v>27</v>
      </c>
      <c r="H113" s="23" t="s">
        <v>1</v>
      </c>
      <c r="I113" s="23" t="s">
        <v>2</v>
      </c>
      <c r="J113" s="23" t="s">
        <v>3</v>
      </c>
      <c r="K113" s="23" t="s">
        <v>20</v>
      </c>
      <c r="L113" s="24"/>
      <c r="M113" s="24"/>
      <c r="N113" s="13" t="s">
        <v>23</v>
      </c>
      <c r="O113" s="13" t="s">
        <v>24</v>
      </c>
      <c r="P113" s="13" t="s">
        <v>25</v>
      </c>
      <c r="Q113" s="13" t="s">
        <v>0</v>
      </c>
      <c r="R113" s="13" t="s">
        <v>26</v>
      </c>
      <c r="S113" s="13" t="s">
        <v>27</v>
      </c>
      <c r="T113" s="13" t="s">
        <v>1</v>
      </c>
      <c r="U113" s="13" t="s">
        <v>2</v>
      </c>
      <c r="V113" s="13" t="s">
        <v>3</v>
      </c>
      <c r="W113" s="13" t="s">
        <v>20</v>
      </c>
    </row>
    <row r="114" spans="2:23" ht="19.2" x14ac:dyDescent="0.45">
      <c r="B114" s="8" t="s">
        <v>4</v>
      </c>
      <c r="C114" s="8" t="s">
        <v>28</v>
      </c>
      <c r="D114" s="8">
        <v>78</v>
      </c>
      <c r="E114" s="8">
        <v>644</v>
      </c>
      <c r="F114" s="8">
        <v>273</v>
      </c>
      <c r="G114" s="8">
        <v>713</v>
      </c>
      <c r="H114" s="8">
        <v>2</v>
      </c>
      <c r="I114" s="8">
        <v>40</v>
      </c>
      <c r="J114" s="8">
        <v>69</v>
      </c>
      <c r="K114" s="11">
        <f>SUM(Table67101622[[#This Row],[Bus ]:[Wheelchair]])</f>
        <v>1819</v>
      </c>
      <c r="L114" s="1"/>
      <c r="M114" s="1"/>
      <c r="N114" s="8" t="s">
        <v>4</v>
      </c>
      <c r="O114" s="8" t="s">
        <v>28</v>
      </c>
      <c r="P114" s="8">
        <v>86</v>
      </c>
      <c r="Q114" s="8">
        <v>1149</v>
      </c>
      <c r="R114" s="8">
        <v>181</v>
      </c>
      <c r="S114" s="8">
        <v>987</v>
      </c>
      <c r="T114" s="8">
        <v>6</v>
      </c>
      <c r="U114" s="8">
        <v>14</v>
      </c>
      <c r="V114" s="8">
        <v>104</v>
      </c>
      <c r="W114" s="11">
        <f>SUM(Table78111723[[#This Row],[Bus ]:[Wheelchair]])</f>
        <v>2527</v>
      </c>
    </row>
    <row r="115" spans="2:23" ht="19.2" x14ac:dyDescent="0.45">
      <c r="B115" s="8" t="s">
        <v>5</v>
      </c>
      <c r="C115" s="8" t="s">
        <v>28</v>
      </c>
      <c r="D115" s="8">
        <v>0</v>
      </c>
      <c r="E115" s="8">
        <v>413</v>
      </c>
      <c r="F115" s="8">
        <v>173</v>
      </c>
      <c r="G115" s="8">
        <v>0</v>
      </c>
      <c r="H115" s="8">
        <v>1</v>
      </c>
      <c r="I115" s="8">
        <v>48</v>
      </c>
      <c r="J115" s="8">
        <v>0</v>
      </c>
      <c r="K115" s="11">
        <f>SUM(Table67101622[[#This Row],[Bus ]:[Wheelchair]])</f>
        <v>635</v>
      </c>
      <c r="L115" s="1"/>
      <c r="M115" s="1"/>
      <c r="N115" s="8" t="s">
        <v>5</v>
      </c>
      <c r="O115" s="8" t="s">
        <v>28</v>
      </c>
      <c r="P115" s="8">
        <v>16</v>
      </c>
      <c r="Q115" s="8">
        <v>475</v>
      </c>
      <c r="R115" s="8">
        <v>113</v>
      </c>
      <c r="S115" s="8">
        <v>2</v>
      </c>
      <c r="T115" s="8">
        <v>0</v>
      </c>
      <c r="U115" s="8">
        <v>4</v>
      </c>
      <c r="V115" s="8">
        <v>4</v>
      </c>
      <c r="W115" s="11">
        <f>SUM(Table78111723[[#This Row],[Bus ]:[Wheelchair]])</f>
        <v>614</v>
      </c>
    </row>
    <row r="116" spans="2:23" ht="19.2" x14ac:dyDescent="0.45">
      <c r="B116" s="8" t="s">
        <v>6</v>
      </c>
      <c r="C116" s="8" t="s">
        <v>28</v>
      </c>
      <c r="D116" s="8">
        <v>0</v>
      </c>
      <c r="E116" s="8">
        <v>312</v>
      </c>
      <c r="F116" s="8">
        <v>152</v>
      </c>
      <c r="G116" s="8">
        <v>1</v>
      </c>
      <c r="H116" s="8">
        <v>0</v>
      </c>
      <c r="I116" s="8">
        <v>20</v>
      </c>
      <c r="J116" s="8">
        <v>4</v>
      </c>
      <c r="K116" s="11">
        <f>SUM(Table67101622[[#This Row],[Bus ]:[Wheelchair]])</f>
        <v>489</v>
      </c>
      <c r="L116" s="1"/>
      <c r="M116" s="1"/>
      <c r="N116" s="8" t="s">
        <v>6</v>
      </c>
      <c r="O116" s="8" t="s">
        <v>28</v>
      </c>
      <c r="P116" s="8">
        <v>0</v>
      </c>
      <c r="Q116" s="8">
        <v>428</v>
      </c>
      <c r="R116" s="8">
        <v>144</v>
      </c>
      <c r="S116" s="8">
        <v>2</v>
      </c>
      <c r="T116" s="8">
        <v>0</v>
      </c>
      <c r="U116" s="8">
        <v>3</v>
      </c>
      <c r="V116" s="8">
        <v>7</v>
      </c>
      <c r="W116" s="11">
        <f>SUM(Table78111723[[#This Row],[Bus ]:[Wheelchair]])</f>
        <v>584</v>
      </c>
    </row>
    <row r="117" spans="2:23" ht="19.2" x14ac:dyDescent="0.45">
      <c r="B117" s="8" t="s">
        <v>7</v>
      </c>
      <c r="C117" s="8" t="s">
        <v>28</v>
      </c>
      <c r="D117" s="8">
        <v>4</v>
      </c>
      <c r="E117" s="8">
        <v>272</v>
      </c>
      <c r="F117" s="8">
        <v>142</v>
      </c>
      <c r="G117" s="8">
        <v>989</v>
      </c>
      <c r="H117" s="8">
        <v>0</v>
      </c>
      <c r="I117" s="8">
        <v>7</v>
      </c>
      <c r="J117" s="8">
        <v>14</v>
      </c>
      <c r="K117" s="11">
        <f>SUM(Table67101622[[#This Row],[Bus ]:[Wheelchair]])</f>
        <v>1428</v>
      </c>
      <c r="L117" s="1"/>
      <c r="M117" s="1"/>
      <c r="N117" s="8" t="s">
        <v>7</v>
      </c>
      <c r="O117" s="8" t="s">
        <v>28</v>
      </c>
      <c r="P117" s="8">
        <v>0</v>
      </c>
      <c r="Q117" s="8">
        <v>92</v>
      </c>
      <c r="R117" s="8">
        <v>191</v>
      </c>
      <c r="S117" s="8">
        <v>1229</v>
      </c>
      <c r="T117" s="8">
        <v>0</v>
      </c>
      <c r="U117" s="8">
        <v>2</v>
      </c>
      <c r="V117" s="8">
        <v>3</v>
      </c>
      <c r="W117" s="11">
        <f>SUM(Table78111723[[#This Row],[Bus ]:[Wheelchair]])</f>
        <v>1517</v>
      </c>
    </row>
    <row r="118" spans="2:23" ht="19.2" x14ac:dyDescent="0.45">
      <c r="B118" s="8" t="s">
        <v>8</v>
      </c>
      <c r="C118" s="8" t="s">
        <v>28</v>
      </c>
      <c r="D118" s="8">
        <v>0</v>
      </c>
      <c r="E118" s="8">
        <v>35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11">
        <f>SUM(Table67101622[[#This Row],[Bus ]:[Wheelchair]])</f>
        <v>35</v>
      </c>
      <c r="L118" s="1"/>
      <c r="M118" s="1"/>
      <c r="N118" s="8" t="s">
        <v>9</v>
      </c>
      <c r="O118" s="8" t="s">
        <v>28</v>
      </c>
      <c r="P118" s="8">
        <v>0</v>
      </c>
      <c r="Q118" s="8">
        <v>19</v>
      </c>
      <c r="R118" s="8">
        <v>5</v>
      </c>
      <c r="S118" s="8">
        <v>0</v>
      </c>
      <c r="T118" s="8">
        <v>0</v>
      </c>
      <c r="U118" s="8">
        <v>0</v>
      </c>
      <c r="V118" s="8">
        <v>0</v>
      </c>
      <c r="W118" s="11">
        <f>SUM(Table78111723[[#This Row],[Bus ]:[Wheelchair]])</f>
        <v>24</v>
      </c>
    </row>
    <row r="119" spans="2:23" ht="19.2" x14ac:dyDescent="0.45">
      <c r="B119" s="8" t="s">
        <v>9</v>
      </c>
      <c r="C119" s="8" t="s">
        <v>28</v>
      </c>
      <c r="D119" s="8">
        <v>0</v>
      </c>
      <c r="E119" s="8">
        <v>1</v>
      </c>
      <c r="F119" s="8">
        <v>5</v>
      </c>
      <c r="G119" s="8">
        <v>0</v>
      </c>
      <c r="H119" s="8">
        <v>0</v>
      </c>
      <c r="I119" s="8">
        <v>0</v>
      </c>
      <c r="J119" s="8">
        <v>0</v>
      </c>
      <c r="K119" s="11">
        <f>SUM(Table67101622[[#This Row],[Bus ]:[Wheelchair]])</f>
        <v>6</v>
      </c>
      <c r="L119" s="1"/>
      <c r="M119" s="1"/>
      <c r="N119" s="8" t="s">
        <v>10</v>
      </c>
      <c r="O119" s="8" t="s">
        <v>28</v>
      </c>
      <c r="P119" s="8">
        <v>0</v>
      </c>
      <c r="Q119" s="8">
        <v>25</v>
      </c>
      <c r="R119" s="8">
        <v>49</v>
      </c>
      <c r="S119" s="8">
        <v>0</v>
      </c>
      <c r="T119" s="8">
        <v>0</v>
      </c>
      <c r="U119" s="8">
        <v>0</v>
      </c>
      <c r="V119" s="8">
        <v>1</v>
      </c>
      <c r="W119" s="11">
        <f>SUM(Table78111723[[#This Row],[Bus ]:[Wheelchair]])</f>
        <v>75</v>
      </c>
    </row>
    <row r="120" spans="2:23" ht="19.2" x14ac:dyDescent="0.45">
      <c r="B120" s="8" t="s">
        <v>30</v>
      </c>
      <c r="C120" s="8" t="s">
        <v>28</v>
      </c>
      <c r="D120" s="8">
        <v>0</v>
      </c>
      <c r="E120" s="8">
        <v>1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11">
        <f>SUM(Table67101622[[#This Row],[Bus ]:[Wheelchair]])</f>
        <v>1</v>
      </c>
      <c r="L120" s="1"/>
      <c r="M120" s="1"/>
      <c r="N120" s="8" t="s">
        <v>11</v>
      </c>
      <c r="O120" s="8" t="s">
        <v>28</v>
      </c>
      <c r="P120" s="8">
        <v>0</v>
      </c>
      <c r="Q120" s="8">
        <v>14</v>
      </c>
      <c r="R120" s="8">
        <v>40</v>
      </c>
      <c r="S120" s="8">
        <v>0</v>
      </c>
      <c r="T120" s="8">
        <v>0</v>
      </c>
      <c r="U120" s="8">
        <v>0</v>
      </c>
      <c r="V120" s="8">
        <v>0</v>
      </c>
      <c r="W120" s="11">
        <f>SUM(Table78111723[[#This Row],[Bus ]:[Wheelchair]])</f>
        <v>54</v>
      </c>
    </row>
    <row r="121" spans="2:23" ht="19.2" x14ac:dyDescent="0.45">
      <c r="B121" s="8" t="s">
        <v>10</v>
      </c>
      <c r="C121" s="8" t="s">
        <v>28</v>
      </c>
      <c r="D121" s="8">
        <v>0</v>
      </c>
      <c r="E121" s="8">
        <v>30</v>
      </c>
      <c r="F121" s="8">
        <v>125</v>
      </c>
      <c r="G121" s="8">
        <v>1</v>
      </c>
      <c r="H121" s="8">
        <v>0</v>
      </c>
      <c r="I121" s="8">
        <v>0</v>
      </c>
      <c r="J121" s="8">
        <v>0</v>
      </c>
      <c r="K121" s="11">
        <f>SUM(Table67101622[[#This Row],[Bus ]:[Wheelchair]])</f>
        <v>156</v>
      </c>
      <c r="L121" s="1"/>
      <c r="M121" s="1"/>
      <c r="N121" s="8" t="s">
        <v>12</v>
      </c>
      <c r="O121" s="8" t="s">
        <v>28</v>
      </c>
      <c r="P121" s="8">
        <v>0</v>
      </c>
      <c r="Q121" s="8">
        <v>15</v>
      </c>
      <c r="R121" s="8">
        <v>0</v>
      </c>
      <c r="S121" s="8">
        <v>0</v>
      </c>
      <c r="T121" s="8">
        <v>0</v>
      </c>
      <c r="U121" s="8">
        <v>0</v>
      </c>
      <c r="V121" s="8">
        <v>2</v>
      </c>
      <c r="W121" s="11">
        <f>SUM(Table78111723[[#This Row],[Bus ]:[Wheelchair]])</f>
        <v>17</v>
      </c>
    </row>
    <row r="122" spans="2:23" ht="19.2" x14ac:dyDescent="0.45">
      <c r="B122" s="8" t="s">
        <v>31</v>
      </c>
      <c r="C122" s="8" t="s">
        <v>28</v>
      </c>
      <c r="D122" s="8">
        <v>0</v>
      </c>
      <c r="E122" s="8">
        <v>1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11">
        <f>SUM(Table67101622[[#This Row],[Bus ]:[Wheelchair]])</f>
        <v>1</v>
      </c>
      <c r="L122" s="1"/>
      <c r="M122" s="1"/>
      <c r="N122" s="8" t="s">
        <v>13</v>
      </c>
      <c r="O122" s="8" t="s">
        <v>28</v>
      </c>
      <c r="P122" s="8">
        <v>0</v>
      </c>
      <c r="Q122" s="8">
        <v>430</v>
      </c>
      <c r="R122" s="8">
        <v>378</v>
      </c>
      <c r="S122" s="8">
        <v>2</v>
      </c>
      <c r="T122" s="8">
        <v>0</v>
      </c>
      <c r="U122" s="8">
        <v>12</v>
      </c>
      <c r="V122" s="8">
        <v>4</v>
      </c>
      <c r="W122" s="11">
        <f>SUM(Table78111723[[#This Row],[Bus ]:[Wheelchair]])</f>
        <v>826</v>
      </c>
    </row>
    <row r="123" spans="2:23" ht="19.2" x14ac:dyDescent="0.45">
      <c r="B123" s="8" t="s">
        <v>11</v>
      </c>
      <c r="C123" s="8" t="s">
        <v>28</v>
      </c>
      <c r="D123" s="8">
        <v>0</v>
      </c>
      <c r="E123" s="8">
        <v>6</v>
      </c>
      <c r="F123" s="8">
        <v>26</v>
      </c>
      <c r="G123" s="8">
        <v>0</v>
      </c>
      <c r="H123" s="8">
        <v>0</v>
      </c>
      <c r="I123" s="8">
        <v>0</v>
      </c>
      <c r="J123" s="8">
        <v>0</v>
      </c>
      <c r="K123" s="11">
        <f>SUM(Table67101622[[#This Row],[Bus ]:[Wheelchair]])</f>
        <v>32</v>
      </c>
      <c r="L123" s="1"/>
      <c r="M123" s="1"/>
      <c r="N123" s="8" t="s">
        <v>14</v>
      </c>
      <c r="O123" s="8" t="s">
        <v>28</v>
      </c>
      <c r="P123" s="8">
        <v>0</v>
      </c>
      <c r="Q123" s="8">
        <v>130</v>
      </c>
      <c r="R123" s="8">
        <v>5</v>
      </c>
      <c r="S123" s="8">
        <v>1</v>
      </c>
      <c r="T123" s="8">
        <v>0</v>
      </c>
      <c r="U123" s="8">
        <v>0</v>
      </c>
      <c r="V123" s="8">
        <v>0</v>
      </c>
      <c r="W123" s="11">
        <f>SUM(Table78111723[[#This Row],[Bus ]:[Wheelchair]])</f>
        <v>136</v>
      </c>
    </row>
    <row r="124" spans="2:23" ht="19.2" x14ac:dyDescent="0.45">
      <c r="B124" s="8" t="s">
        <v>12</v>
      </c>
      <c r="C124" s="8" t="s">
        <v>28</v>
      </c>
      <c r="D124" s="8">
        <v>0</v>
      </c>
      <c r="E124" s="8">
        <v>4</v>
      </c>
      <c r="F124" s="8">
        <v>2</v>
      </c>
      <c r="G124" s="8">
        <v>0</v>
      </c>
      <c r="H124" s="8">
        <v>0</v>
      </c>
      <c r="I124" s="8">
        <v>0</v>
      </c>
      <c r="J124" s="8">
        <v>0</v>
      </c>
      <c r="K124" s="11">
        <f>SUM(Table67101622[[#This Row],[Bus ]:[Wheelchair]])</f>
        <v>6</v>
      </c>
      <c r="L124" s="1"/>
      <c r="M124" s="1"/>
      <c r="N124" s="8" t="s">
        <v>15</v>
      </c>
      <c r="O124" s="8" t="s">
        <v>28</v>
      </c>
      <c r="P124" s="8">
        <v>155</v>
      </c>
      <c r="Q124" s="8">
        <v>610</v>
      </c>
      <c r="R124" s="8">
        <v>379</v>
      </c>
      <c r="S124" s="8">
        <v>5</v>
      </c>
      <c r="T124" s="8">
        <v>4</v>
      </c>
      <c r="U124" s="8">
        <v>36</v>
      </c>
      <c r="V124" s="8">
        <v>22</v>
      </c>
      <c r="W124" s="11">
        <f>SUM(Table78111723[[#This Row],[Bus ]:[Wheelchair]])</f>
        <v>1211</v>
      </c>
    </row>
    <row r="125" spans="2:23" ht="19.2" x14ac:dyDescent="0.45">
      <c r="B125" s="8" t="s">
        <v>13</v>
      </c>
      <c r="C125" s="8" t="s">
        <v>28</v>
      </c>
      <c r="D125" s="8">
        <v>4</v>
      </c>
      <c r="E125" s="8">
        <v>286</v>
      </c>
      <c r="F125" s="8">
        <v>231</v>
      </c>
      <c r="G125" s="8">
        <v>2</v>
      </c>
      <c r="H125" s="8">
        <v>0</v>
      </c>
      <c r="I125" s="8">
        <v>24</v>
      </c>
      <c r="J125" s="8">
        <v>3</v>
      </c>
      <c r="K125" s="11">
        <f>SUM(Table67101622[[#This Row],[Bus ]:[Wheelchair]])</f>
        <v>550</v>
      </c>
      <c r="L125" s="1"/>
      <c r="M125" s="1"/>
      <c r="N125" s="8" t="s">
        <v>16</v>
      </c>
      <c r="O125" s="8" t="s">
        <v>28</v>
      </c>
      <c r="P125" s="8">
        <v>0</v>
      </c>
      <c r="Q125" s="8">
        <v>17</v>
      </c>
      <c r="R125" s="8">
        <v>82</v>
      </c>
      <c r="S125" s="8">
        <v>0</v>
      </c>
      <c r="T125" s="8">
        <v>0</v>
      </c>
      <c r="U125" s="8">
        <v>0</v>
      </c>
      <c r="V125" s="8">
        <v>0</v>
      </c>
      <c r="W125" s="11">
        <f>SUM(Table78111723[[#This Row],[Bus ]:[Wheelchair]])</f>
        <v>99</v>
      </c>
    </row>
    <row r="126" spans="2:23" ht="19.2" x14ac:dyDescent="0.45">
      <c r="B126" s="8" t="s">
        <v>14</v>
      </c>
      <c r="C126" s="8" t="s">
        <v>28</v>
      </c>
      <c r="D126" s="8">
        <v>0</v>
      </c>
      <c r="E126" s="8">
        <v>66</v>
      </c>
      <c r="F126" s="8">
        <v>4</v>
      </c>
      <c r="G126" s="8">
        <v>0</v>
      </c>
      <c r="H126" s="8">
        <v>0</v>
      </c>
      <c r="I126" s="8">
        <v>1</v>
      </c>
      <c r="J126" s="8">
        <v>2</v>
      </c>
      <c r="K126" s="11">
        <f>SUM(Table67101622[[#This Row],[Bus ]:[Wheelchair]])</f>
        <v>73</v>
      </c>
      <c r="L126" s="1"/>
      <c r="M126" s="1"/>
      <c r="N126" s="8" t="s">
        <v>21</v>
      </c>
      <c r="O126" s="8" t="s">
        <v>28</v>
      </c>
      <c r="P126" s="8">
        <v>0</v>
      </c>
      <c r="Q126" s="8">
        <v>0</v>
      </c>
      <c r="R126" s="8">
        <v>1</v>
      </c>
      <c r="S126" s="8">
        <v>0</v>
      </c>
      <c r="T126" s="8">
        <v>0</v>
      </c>
      <c r="U126" s="8">
        <v>0</v>
      </c>
      <c r="V126" s="8">
        <v>0</v>
      </c>
      <c r="W126" s="11">
        <f>SUM(Table78111723[[#This Row],[Bus ]:[Wheelchair]])</f>
        <v>1</v>
      </c>
    </row>
    <row r="127" spans="2:23" ht="19.2" x14ac:dyDescent="0.45">
      <c r="B127" s="8" t="s">
        <v>15</v>
      </c>
      <c r="C127" s="8" t="s">
        <v>28</v>
      </c>
      <c r="D127" s="8">
        <v>4</v>
      </c>
      <c r="E127" s="8">
        <v>2588</v>
      </c>
      <c r="F127" s="8">
        <v>399</v>
      </c>
      <c r="G127" s="8">
        <v>5</v>
      </c>
      <c r="H127" s="8">
        <v>0</v>
      </c>
      <c r="I127" s="8">
        <v>138</v>
      </c>
      <c r="J127" s="8">
        <v>66</v>
      </c>
      <c r="K127" s="11">
        <f>SUM(Table67101622[[#This Row],[Bus ]:[Wheelchair]])</f>
        <v>3200</v>
      </c>
      <c r="L127" s="1"/>
      <c r="M127" s="1"/>
      <c r="N127" s="8" t="s">
        <v>17</v>
      </c>
      <c r="O127" s="8" t="s">
        <v>28</v>
      </c>
      <c r="P127" s="8">
        <v>0</v>
      </c>
      <c r="Q127" s="8">
        <v>8</v>
      </c>
      <c r="R127" s="8">
        <v>38</v>
      </c>
      <c r="S127" s="8">
        <v>0</v>
      </c>
      <c r="T127" s="8">
        <v>0</v>
      </c>
      <c r="U127" s="8">
        <v>0</v>
      </c>
      <c r="V127" s="8">
        <v>1</v>
      </c>
      <c r="W127" s="11">
        <f>SUM(Table78111723[[#This Row],[Bus ]:[Wheelchair]])</f>
        <v>47</v>
      </c>
    </row>
    <row r="128" spans="2:23" ht="19.2" x14ac:dyDescent="0.45">
      <c r="B128" s="8" t="s">
        <v>16</v>
      </c>
      <c r="C128" s="8" t="s">
        <v>28</v>
      </c>
      <c r="D128" s="8">
        <v>0</v>
      </c>
      <c r="E128" s="8">
        <v>4</v>
      </c>
      <c r="F128" s="8">
        <v>67</v>
      </c>
      <c r="G128" s="8">
        <v>0</v>
      </c>
      <c r="H128" s="8">
        <v>0</v>
      </c>
      <c r="I128" s="8">
        <v>0</v>
      </c>
      <c r="J128" s="8">
        <v>0</v>
      </c>
      <c r="K128" s="11">
        <f>SUM(Table67101622[[#This Row],[Bus ]:[Wheelchair]])</f>
        <v>71</v>
      </c>
      <c r="L128" s="1"/>
      <c r="M128" s="1"/>
      <c r="N128" s="8" t="s">
        <v>18</v>
      </c>
      <c r="O128" s="8" t="s">
        <v>29</v>
      </c>
      <c r="P128" s="8">
        <v>56450</v>
      </c>
      <c r="Q128" s="8">
        <v>15857</v>
      </c>
      <c r="R128" s="8">
        <v>5918</v>
      </c>
      <c r="S128" s="8">
        <v>55904</v>
      </c>
      <c r="T128" s="8">
        <v>721</v>
      </c>
      <c r="U128" s="8">
        <v>800</v>
      </c>
      <c r="V128" s="8">
        <v>1624</v>
      </c>
      <c r="W128" s="11">
        <f>SUM(Table78111723[[#This Row],[Bus ]:[Wheelchair]])</f>
        <v>137274</v>
      </c>
    </row>
    <row r="129" spans="2:23" ht="19.2" x14ac:dyDescent="0.45">
      <c r="B129" s="8" t="s">
        <v>17</v>
      </c>
      <c r="C129" s="8" t="s">
        <v>28</v>
      </c>
      <c r="D129" s="8">
        <v>0</v>
      </c>
      <c r="E129" s="8">
        <v>8</v>
      </c>
      <c r="F129" s="8">
        <v>24</v>
      </c>
      <c r="G129" s="8">
        <v>0</v>
      </c>
      <c r="H129" s="8">
        <v>0</v>
      </c>
      <c r="I129" s="8">
        <v>0</v>
      </c>
      <c r="J129" s="8">
        <v>0</v>
      </c>
      <c r="K129" s="11">
        <f>SUM(Table67101622[[#This Row],[Bus ]:[Wheelchair]])</f>
        <v>32</v>
      </c>
      <c r="L129" s="1"/>
      <c r="M129" s="1"/>
      <c r="N129" s="8" t="s">
        <v>19</v>
      </c>
      <c r="O129" s="8" t="s">
        <v>29</v>
      </c>
      <c r="P129" s="8">
        <v>618</v>
      </c>
      <c r="Q129" s="8">
        <v>4896</v>
      </c>
      <c r="R129" s="8">
        <v>1100</v>
      </c>
      <c r="S129" s="8">
        <v>3852</v>
      </c>
      <c r="T129" s="8">
        <v>103</v>
      </c>
      <c r="U129" s="8">
        <v>79</v>
      </c>
      <c r="V129" s="8">
        <v>410</v>
      </c>
      <c r="W129" s="11">
        <f>SUM(Table78111723[[#This Row],[Bus ]:[Wheelchair]])</f>
        <v>11058</v>
      </c>
    </row>
    <row r="130" spans="2:23" ht="19.2" x14ac:dyDescent="0.45">
      <c r="B130" s="8" t="s">
        <v>18</v>
      </c>
      <c r="C130" s="8" t="s">
        <v>29</v>
      </c>
      <c r="D130" s="8">
        <v>39981</v>
      </c>
      <c r="E130" s="8">
        <v>12476</v>
      </c>
      <c r="F130" s="8">
        <v>7295</v>
      </c>
      <c r="G130" s="8">
        <v>48289</v>
      </c>
      <c r="H130" s="8">
        <v>776</v>
      </c>
      <c r="I130" s="8">
        <v>1943</v>
      </c>
      <c r="J130" s="8">
        <v>1398</v>
      </c>
      <c r="K130" s="1">
        <f>SUM(Table67101622[[#This Row],[Bus ]:[Wheelchair]])</f>
        <v>112158</v>
      </c>
      <c r="L130" s="1"/>
      <c r="M130" s="1"/>
      <c r="N130" s="20" t="s">
        <v>20</v>
      </c>
      <c r="O130" s="20"/>
      <c r="P130" s="20">
        <f>SUBTOTAL(109,Table78111723[[Bus ]])</f>
        <v>57325</v>
      </c>
      <c r="Q130" s="20">
        <f>SUBTOTAL(109,Table78111723[Cab])</f>
        <v>24165</v>
      </c>
      <c r="R130" s="20">
        <f>SUBTOTAL(109,Table78111723[GMR])</f>
        <v>8624</v>
      </c>
      <c r="S130" s="20">
        <f>SUBTOTAL(109,Table78111723[Public Entity])</f>
        <v>61984</v>
      </c>
      <c r="T130" s="20">
        <f>SUBTOTAL(109,Table78111723[Stretcher])</f>
        <v>834</v>
      </c>
      <c r="U130" s="20">
        <f>SUBTOTAL(109,Table78111723[TNC Vendor])</f>
        <v>950</v>
      </c>
      <c r="V130" s="20">
        <f>SUBTOTAL(109,Table78111723[Wheelchair])</f>
        <v>2182</v>
      </c>
      <c r="W130" s="20">
        <f>SUBTOTAL(109,Table78111723[Total])</f>
        <v>156064</v>
      </c>
    </row>
    <row r="131" spans="2:23" ht="19.2" x14ac:dyDescent="0.45">
      <c r="B131" s="8" t="s">
        <v>19</v>
      </c>
      <c r="C131" s="8" t="s">
        <v>29</v>
      </c>
      <c r="D131" s="8">
        <v>517</v>
      </c>
      <c r="E131" s="8">
        <v>4728</v>
      </c>
      <c r="F131" s="8">
        <v>1209</v>
      </c>
      <c r="G131" s="8">
        <v>4664</v>
      </c>
      <c r="H131" s="8">
        <v>85</v>
      </c>
      <c r="I131" s="8">
        <v>212</v>
      </c>
      <c r="J131" s="8">
        <v>407</v>
      </c>
      <c r="K131" s="1">
        <f>SUM(Table67101622[[#This Row],[Bus ]:[Wheelchair]])</f>
        <v>11822</v>
      </c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2:23" ht="19.2" x14ac:dyDescent="0.45">
      <c r="B132" s="19" t="s">
        <v>20</v>
      </c>
      <c r="C132" s="19"/>
      <c r="D132" s="19">
        <f>SUBTOTAL(109,Table67101622[[Bus ]])</f>
        <v>40588</v>
      </c>
      <c r="E132" s="19">
        <f>SUBTOTAL(109,Table67101622[Cab])</f>
        <v>21875</v>
      </c>
      <c r="F132" s="19">
        <f>SUBTOTAL(109,Table67101622[GMR])</f>
        <v>10127</v>
      </c>
      <c r="G132" s="19">
        <f>SUBTOTAL(109,Table67101622[Public Entity])</f>
        <v>54664</v>
      </c>
      <c r="H132" s="19">
        <f>SUBTOTAL(109,Table67101622[Stretcher])</f>
        <v>864</v>
      </c>
      <c r="I132" s="19">
        <f>SUBTOTAL(109,Table67101622[TNC Vendor])</f>
        <v>2433</v>
      </c>
      <c r="J132" s="19">
        <f>SUBTOTAL(109,Table67101622[Wheelchair])</f>
        <v>1963</v>
      </c>
      <c r="K132" s="19">
        <f>SUBTOTAL(109,Table67101622[Total])</f>
        <v>132514</v>
      </c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2:23" ht="19.2" x14ac:dyDescent="0.4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2:23" ht="19.2" x14ac:dyDescent="0.4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2:23" ht="19.2" x14ac:dyDescent="0.45">
      <c r="B135" s="34">
        <v>45444</v>
      </c>
      <c r="C135" s="34"/>
      <c r="D135" s="34"/>
      <c r="E135" s="35" t="s">
        <v>22</v>
      </c>
      <c r="F135" s="35"/>
      <c r="G135" s="35"/>
      <c r="H135" s="35"/>
      <c r="I135" s="35"/>
      <c r="J135" s="35"/>
      <c r="K135" s="35"/>
      <c r="L135" s="1"/>
      <c r="M135" s="1"/>
      <c r="N135" s="36">
        <v>45809</v>
      </c>
      <c r="O135" s="36"/>
      <c r="P135" s="36"/>
      <c r="Q135" s="37" t="s">
        <v>22</v>
      </c>
      <c r="R135" s="37"/>
      <c r="S135" s="37"/>
      <c r="T135" s="37"/>
      <c r="U135" s="37"/>
      <c r="V135" s="37"/>
      <c r="W135" s="37"/>
    </row>
    <row r="136" spans="2:23" ht="19.2" x14ac:dyDescent="0.45">
      <c r="B136" s="34"/>
      <c r="C136" s="34"/>
      <c r="D136" s="34"/>
      <c r="E136" s="35"/>
      <c r="F136" s="35"/>
      <c r="G136" s="35"/>
      <c r="H136" s="35"/>
      <c r="I136" s="35"/>
      <c r="J136" s="35"/>
      <c r="K136" s="35"/>
      <c r="L136" s="1"/>
      <c r="M136" s="1"/>
      <c r="N136" s="36"/>
      <c r="O136" s="36"/>
      <c r="P136" s="36"/>
      <c r="Q136" s="37"/>
      <c r="R136" s="37"/>
      <c r="S136" s="37"/>
      <c r="T136" s="37"/>
      <c r="U136" s="37"/>
      <c r="V136" s="37"/>
      <c r="W136" s="37"/>
    </row>
    <row r="137" spans="2:23" s="26" customFormat="1" ht="20.399999999999999" x14ac:dyDescent="0.45">
      <c r="B137" s="13" t="s">
        <v>23</v>
      </c>
      <c r="C137" s="13" t="s">
        <v>24</v>
      </c>
      <c r="D137" s="13" t="s">
        <v>25</v>
      </c>
      <c r="E137" s="13" t="s">
        <v>0</v>
      </c>
      <c r="F137" s="13" t="s">
        <v>26</v>
      </c>
      <c r="G137" s="13" t="s">
        <v>27</v>
      </c>
      <c r="H137" s="13" t="s">
        <v>1</v>
      </c>
      <c r="I137" s="13" t="s">
        <v>2</v>
      </c>
      <c r="J137" s="13" t="s">
        <v>3</v>
      </c>
      <c r="K137" s="13" t="s">
        <v>20</v>
      </c>
      <c r="L137" s="24"/>
      <c r="M137" s="24"/>
      <c r="N137" s="13" t="s">
        <v>23</v>
      </c>
      <c r="O137" s="13" t="s">
        <v>24</v>
      </c>
      <c r="P137" s="13" t="s">
        <v>25</v>
      </c>
      <c r="Q137" s="13" t="s">
        <v>0</v>
      </c>
      <c r="R137" s="13" t="s">
        <v>26</v>
      </c>
      <c r="S137" s="13" t="s">
        <v>27</v>
      </c>
      <c r="T137" s="13" t="s">
        <v>1</v>
      </c>
      <c r="U137" s="13" t="s">
        <v>2</v>
      </c>
      <c r="V137" s="13" t="s">
        <v>3</v>
      </c>
      <c r="W137" s="13" t="s">
        <v>20</v>
      </c>
    </row>
    <row r="138" spans="2:23" ht="19.2" x14ac:dyDescent="0.45">
      <c r="B138" s="8" t="s">
        <v>4</v>
      </c>
      <c r="C138" s="8" t="s">
        <v>28</v>
      </c>
      <c r="D138" s="8">
        <v>89</v>
      </c>
      <c r="E138" s="8">
        <v>705</v>
      </c>
      <c r="F138" s="8">
        <v>223</v>
      </c>
      <c r="G138" s="8">
        <v>434</v>
      </c>
      <c r="H138" s="8">
        <v>0</v>
      </c>
      <c r="I138" s="8">
        <v>129</v>
      </c>
      <c r="J138" s="8">
        <v>66</v>
      </c>
      <c r="K138" s="11">
        <f>SUM(Table6710162228[[#This Row],[Bus ]:[Wheelchair]])</f>
        <v>1646</v>
      </c>
      <c r="L138" s="1"/>
      <c r="M138" s="1"/>
      <c r="N138" s="8" t="s">
        <v>4</v>
      </c>
      <c r="O138" s="8" t="s">
        <v>28</v>
      </c>
      <c r="P138" s="8">
        <v>121</v>
      </c>
      <c r="Q138" s="8">
        <v>866</v>
      </c>
      <c r="R138" s="8">
        <v>174</v>
      </c>
      <c r="S138" s="8">
        <v>586</v>
      </c>
      <c r="T138" s="8">
        <v>0</v>
      </c>
      <c r="U138" s="8">
        <v>15</v>
      </c>
      <c r="V138" s="8">
        <v>73</v>
      </c>
      <c r="W138" s="11">
        <f>SUM(Table7811172329[[#This Row],[Bus ]:[Wheelchair]])</f>
        <v>1835</v>
      </c>
    </row>
    <row r="139" spans="2:23" ht="19.2" x14ac:dyDescent="0.45">
      <c r="B139" s="8" t="s">
        <v>5</v>
      </c>
      <c r="C139" s="8" t="s">
        <v>28</v>
      </c>
      <c r="D139" s="8">
        <v>1</v>
      </c>
      <c r="E139" s="8">
        <v>307</v>
      </c>
      <c r="F139" s="8">
        <v>266</v>
      </c>
      <c r="G139" s="8">
        <v>0</v>
      </c>
      <c r="H139" s="8">
        <v>0</v>
      </c>
      <c r="I139" s="8">
        <v>76</v>
      </c>
      <c r="J139" s="8">
        <v>2</v>
      </c>
      <c r="K139" s="11">
        <f>SUM(Table6710162228[[#This Row],[Bus ]:[Wheelchair]])</f>
        <v>652</v>
      </c>
      <c r="L139" s="1"/>
      <c r="M139" s="1"/>
      <c r="N139" s="8" t="s">
        <v>5</v>
      </c>
      <c r="O139" s="8" t="s">
        <v>28</v>
      </c>
      <c r="P139" s="8">
        <v>18</v>
      </c>
      <c r="Q139" s="8">
        <v>375</v>
      </c>
      <c r="R139" s="8">
        <v>144</v>
      </c>
      <c r="S139" s="8">
        <v>4</v>
      </c>
      <c r="T139" s="8">
        <v>0</v>
      </c>
      <c r="U139" s="8">
        <v>5</v>
      </c>
      <c r="V139" s="8">
        <v>3</v>
      </c>
      <c r="W139" s="11">
        <f>SUM(Table7811172329[[#This Row],[Bus ]:[Wheelchair]])</f>
        <v>549</v>
      </c>
    </row>
    <row r="140" spans="2:23" ht="19.2" x14ac:dyDescent="0.45">
      <c r="B140" s="8" t="s">
        <v>6</v>
      </c>
      <c r="C140" s="8" t="s">
        <v>28</v>
      </c>
      <c r="D140" s="8">
        <v>0</v>
      </c>
      <c r="E140" s="8">
        <v>292</v>
      </c>
      <c r="F140" s="8">
        <v>117</v>
      </c>
      <c r="G140" s="8">
        <v>0</v>
      </c>
      <c r="H140" s="8">
        <v>0</v>
      </c>
      <c r="I140" s="8">
        <v>10</v>
      </c>
      <c r="J140" s="8">
        <v>5</v>
      </c>
      <c r="K140" s="11">
        <f>SUM(Table6710162228[[#This Row],[Bus ]:[Wheelchair]])</f>
        <v>424</v>
      </c>
      <c r="L140" s="1"/>
      <c r="M140" s="1"/>
      <c r="N140" s="8" t="s">
        <v>6</v>
      </c>
      <c r="O140" s="8" t="s">
        <v>28</v>
      </c>
      <c r="P140" s="8">
        <v>3</v>
      </c>
      <c r="Q140" s="8">
        <v>368</v>
      </c>
      <c r="R140" s="8">
        <v>113</v>
      </c>
      <c r="S140" s="8">
        <v>3</v>
      </c>
      <c r="T140" s="8">
        <v>0</v>
      </c>
      <c r="U140" s="8">
        <v>3</v>
      </c>
      <c r="V140" s="8">
        <v>11</v>
      </c>
      <c r="W140" s="11">
        <f>SUM(Table7811172329[[#This Row],[Bus ]:[Wheelchair]])</f>
        <v>501</v>
      </c>
    </row>
    <row r="141" spans="2:23" ht="19.2" x14ac:dyDescent="0.45">
      <c r="B141" s="8" t="s">
        <v>7</v>
      </c>
      <c r="C141" s="8" t="s">
        <v>28</v>
      </c>
      <c r="D141" s="8">
        <v>9</v>
      </c>
      <c r="E141" s="8">
        <v>251</v>
      </c>
      <c r="F141" s="8">
        <v>166</v>
      </c>
      <c r="G141" s="8">
        <v>889</v>
      </c>
      <c r="H141" s="8">
        <v>0</v>
      </c>
      <c r="I141" s="8">
        <v>115</v>
      </c>
      <c r="J141" s="8">
        <v>6</v>
      </c>
      <c r="K141" s="11">
        <f>SUM(Table6710162228[[#This Row],[Bus ]:[Wheelchair]])</f>
        <v>1436</v>
      </c>
      <c r="L141" s="1"/>
      <c r="M141" s="1"/>
      <c r="N141" s="8" t="s">
        <v>7</v>
      </c>
      <c r="O141" s="8" t="s">
        <v>28</v>
      </c>
      <c r="P141" s="8">
        <v>0</v>
      </c>
      <c r="Q141" s="8">
        <v>82</v>
      </c>
      <c r="R141" s="8">
        <v>136</v>
      </c>
      <c r="S141" s="8">
        <v>986</v>
      </c>
      <c r="T141" s="8">
        <v>0</v>
      </c>
      <c r="U141" s="8">
        <v>1</v>
      </c>
      <c r="V141" s="8">
        <v>4</v>
      </c>
      <c r="W141" s="11">
        <f>SUM(Table7811172329[[#This Row],[Bus ]:[Wheelchair]])</f>
        <v>1209</v>
      </c>
    </row>
    <row r="142" spans="2:23" ht="19.2" x14ac:dyDescent="0.45">
      <c r="B142" s="8" t="s">
        <v>8</v>
      </c>
      <c r="C142" s="8" t="s">
        <v>28</v>
      </c>
      <c r="D142" s="8">
        <v>0</v>
      </c>
      <c r="E142" s="8">
        <v>19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11">
        <f>SUM(Table6710162228[[#This Row],[Bus ]:[Wheelchair]])</f>
        <v>19</v>
      </c>
      <c r="L142" s="1"/>
      <c r="M142" s="1"/>
      <c r="N142" s="8" t="s">
        <v>9</v>
      </c>
      <c r="O142" s="8" t="s">
        <v>28</v>
      </c>
      <c r="P142" s="8">
        <v>0</v>
      </c>
      <c r="Q142" s="8">
        <v>13</v>
      </c>
      <c r="R142" s="8">
        <v>7</v>
      </c>
      <c r="S142" s="8">
        <v>0</v>
      </c>
      <c r="T142" s="8">
        <v>0</v>
      </c>
      <c r="U142" s="8">
        <v>1</v>
      </c>
      <c r="V142" s="8">
        <v>0</v>
      </c>
      <c r="W142" s="11">
        <f>SUM(Table7811172329[[#This Row],[Bus ]:[Wheelchair]])</f>
        <v>21</v>
      </c>
    </row>
    <row r="143" spans="2:23" ht="19.2" x14ac:dyDescent="0.45">
      <c r="B143" s="8" t="s">
        <v>9</v>
      </c>
      <c r="C143" s="8" t="s">
        <v>28</v>
      </c>
      <c r="D143" s="8">
        <v>0</v>
      </c>
      <c r="E143" s="8">
        <v>2</v>
      </c>
      <c r="F143" s="8">
        <v>13</v>
      </c>
      <c r="G143" s="8">
        <v>0</v>
      </c>
      <c r="H143" s="8">
        <v>0</v>
      </c>
      <c r="I143" s="8">
        <v>1</v>
      </c>
      <c r="J143" s="8">
        <v>0</v>
      </c>
      <c r="K143" s="11">
        <f>SUM(Table6710162228[[#This Row],[Bus ]:[Wheelchair]])</f>
        <v>16</v>
      </c>
      <c r="L143" s="1"/>
      <c r="M143" s="1"/>
      <c r="N143" s="8" t="s">
        <v>10</v>
      </c>
      <c r="O143" s="8" t="s">
        <v>28</v>
      </c>
      <c r="P143" s="8">
        <v>0</v>
      </c>
      <c r="Q143" s="8">
        <v>20</v>
      </c>
      <c r="R143" s="8">
        <v>41</v>
      </c>
      <c r="S143" s="8">
        <v>0</v>
      </c>
      <c r="T143" s="8">
        <v>0</v>
      </c>
      <c r="U143" s="8">
        <v>0</v>
      </c>
      <c r="V143" s="8">
        <v>0</v>
      </c>
      <c r="W143" s="11">
        <f>SUM(Table7811172329[[#This Row],[Bus ]:[Wheelchair]])</f>
        <v>61</v>
      </c>
    </row>
    <row r="144" spans="2:23" ht="19.2" x14ac:dyDescent="0.45">
      <c r="B144" s="8" t="s">
        <v>10</v>
      </c>
      <c r="C144" s="8" t="s">
        <v>28</v>
      </c>
      <c r="D144" s="8">
        <v>0</v>
      </c>
      <c r="E144" s="8">
        <v>23</v>
      </c>
      <c r="F144" s="8">
        <v>95</v>
      </c>
      <c r="G144" s="8">
        <v>1</v>
      </c>
      <c r="H144" s="8">
        <v>0</v>
      </c>
      <c r="I144" s="8">
        <v>0</v>
      </c>
      <c r="J144" s="8">
        <v>0</v>
      </c>
      <c r="K144" s="11">
        <f>SUM(Table6710162228[[#This Row],[Bus ]:[Wheelchair]])</f>
        <v>119</v>
      </c>
      <c r="L144" s="1"/>
      <c r="M144" s="1"/>
      <c r="N144" s="8" t="s">
        <v>11</v>
      </c>
      <c r="O144" s="8" t="s">
        <v>28</v>
      </c>
      <c r="P144" s="8">
        <v>0</v>
      </c>
      <c r="Q144" s="8">
        <v>2</v>
      </c>
      <c r="R144" s="8">
        <v>43</v>
      </c>
      <c r="S144" s="8">
        <v>0</v>
      </c>
      <c r="T144" s="8">
        <v>0</v>
      </c>
      <c r="U144" s="8">
        <v>0</v>
      </c>
      <c r="V144" s="8">
        <v>0</v>
      </c>
      <c r="W144" s="11">
        <f>SUM(Table7811172329[[#This Row],[Bus ]:[Wheelchair]])</f>
        <v>45</v>
      </c>
    </row>
    <row r="145" spans="2:23" ht="19.2" x14ac:dyDescent="0.45">
      <c r="B145" s="8" t="s">
        <v>11</v>
      </c>
      <c r="C145" s="8" t="s">
        <v>28</v>
      </c>
      <c r="D145" s="8">
        <v>0</v>
      </c>
      <c r="E145" s="8">
        <v>2</v>
      </c>
      <c r="F145" s="8">
        <v>12</v>
      </c>
      <c r="G145" s="8">
        <v>0</v>
      </c>
      <c r="H145" s="8">
        <v>0</v>
      </c>
      <c r="I145" s="8">
        <v>2</v>
      </c>
      <c r="J145" s="8">
        <v>0</v>
      </c>
      <c r="K145" s="11">
        <f>SUM(Table6710162228[[#This Row],[Bus ]:[Wheelchair]])</f>
        <v>16</v>
      </c>
      <c r="L145" s="1"/>
      <c r="M145" s="1"/>
      <c r="N145" s="8" t="s">
        <v>12</v>
      </c>
      <c r="O145" s="8" t="s">
        <v>28</v>
      </c>
      <c r="P145" s="8">
        <v>0</v>
      </c>
      <c r="Q145" s="8">
        <v>21</v>
      </c>
      <c r="R145" s="8">
        <v>0</v>
      </c>
      <c r="S145" s="8">
        <v>0</v>
      </c>
      <c r="T145" s="8">
        <v>0</v>
      </c>
      <c r="U145" s="8">
        <v>0</v>
      </c>
      <c r="V145" s="8">
        <v>1</v>
      </c>
      <c r="W145" s="11">
        <f>SUM(Table7811172329[[#This Row],[Bus ]:[Wheelchair]])</f>
        <v>22</v>
      </c>
    </row>
    <row r="146" spans="2:23" ht="19.2" x14ac:dyDescent="0.45">
      <c r="B146" s="8" t="s">
        <v>12</v>
      </c>
      <c r="C146" s="8" t="s">
        <v>28</v>
      </c>
      <c r="D146" s="8">
        <v>0</v>
      </c>
      <c r="E146" s="8">
        <v>2</v>
      </c>
      <c r="F146" s="8">
        <v>2</v>
      </c>
      <c r="G146" s="8">
        <v>0</v>
      </c>
      <c r="H146" s="8">
        <v>0</v>
      </c>
      <c r="I146" s="8">
        <v>1</v>
      </c>
      <c r="J146" s="8">
        <v>0</v>
      </c>
      <c r="K146" s="11">
        <f>SUM(Table6710162228[[#This Row],[Bus ]:[Wheelchair]])</f>
        <v>5</v>
      </c>
      <c r="L146" s="1"/>
      <c r="M146" s="1"/>
      <c r="N146" s="8" t="s">
        <v>13</v>
      </c>
      <c r="O146" s="8" t="s">
        <v>28</v>
      </c>
      <c r="P146" s="8">
        <v>0</v>
      </c>
      <c r="Q146" s="8">
        <v>377</v>
      </c>
      <c r="R146" s="8">
        <v>298</v>
      </c>
      <c r="S146" s="8">
        <v>0</v>
      </c>
      <c r="T146" s="8">
        <v>0</v>
      </c>
      <c r="U146" s="8">
        <v>2</v>
      </c>
      <c r="V146" s="8">
        <v>11</v>
      </c>
      <c r="W146" s="11">
        <f>SUM(Table7811172329[[#This Row],[Bus ]:[Wheelchair]])</f>
        <v>688</v>
      </c>
    </row>
    <row r="147" spans="2:23" ht="19.2" x14ac:dyDescent="0.45">
      <c r="B147" s="8" t="s">
        <v>13</v>
      </c>
      <c r="C147" s="8" t="s">
        <v>28</v>
      </c>
      <c r="D147" s="8">
        <v>1</v>
      </c>
      <c r="E147" s="8">
        <v>241</v>
      </c>
      <c r="F147" s="8">
        <v>196</v>
      </c>
      <c r="G147" s="8">
        <v>0</v>
      </c>
      <c r="H147" s="8">
        <v>0</v>
      </c>
      <c r="I147" s="8">
        <v>22</v>
      </c>
      <c r="J147" s="8">
        <v>5</v>
      </c>
      <c r="K147" s="11">
        <f>SUM(Table6710162228[[#This Row],[Bus ]:[Wheelchair]])</f>
        <v>465</v>
      </c>
      <c r="L147" s="1"/>
      <c r="M147" s="1"/>
      <c r="N147" s="8" t="s">
        <v>14</v>
      </c>
      <c r="O147" s="8" t="s">
        <v>28</v>
      </c>
      <c r="P147" s="8">
        <v>0</v>
      </c>
      <c r="Q147" s="8">
        <v>101</v>
      </c>
      <c r="R147" s="8">
        <v>9</v>
      </c>
      <c r="S147" s="8">
        <v>0</v>
      </c>
      <c r="T147" s="8">
        <v>0</v>
      </c>
      <c r="U147" s="8">
        <v>0</v>
      </c>
      <c r="V147" s="8">
        <v>2</v>
      </c>
      <c r="W147" s="11">
        <f>SUM(Table7811172329[[#This Row],[Bus ]:[Wheelchair]])</f>
        <v>112</v>
      </c>
    </row>
    <row r="148" spans="2:23" ht="19.2" x14ac:dyDescent="0.45">
      <c r="B148" s="8" t="s">
        <v>14</v>
      </c>
      <c r="C148" s="8" t="s">
        <v>28</v>
      </c>
      <c r="D148" s="8">
        <v>0</v>
      </c>
      <c r="E148" s="8">
        <v>65</v>
      </c>
      <c r="F148" s="8">
        <v>26</v>
      </c>
      <c r="G148" s="8">
        <v>1</v>
      </c>
      <c r="H148" s="8">
        <v>0</v>
      </c>
      <c r="I148" s="8">
        <v>2</v>
      </c>
      <c r="J148" s="8">
        <v>0</v>
      </c>
      <c r="K148" s="11">
        <f>SUM(Table6710162228[[#This Row],[Bus ]:[Wheelchair]])</f>
        <v>94</v>
      </c>
      <c r="L148" s="1"/>
      <c r="M148" s="1"/>
      <c r="N148" s="8" t="s">
        <v>15</v>
      </c>
      <c r="O148" s="8" t="s">
        <v>28</v>
      </c>
      <c r="P148" s="8">
        <v>77</v>
      </c>
      <c r="Q148" s="8">
        <v>510</v>
      </c>
      <c r="R148" s="8">
        <v>407</v>
      </c>
      <c r="S148" s="8">
        <v>6</v>
      </c>
      <c r="T148" s="8">
        <v>4</v>
      </c>
      <c r="U148" s="8">
        <v>27</v>
      </c>
      <c r="V148" s="8">
        <v>19</v>
      </c>
      <c r="W148" s="11">
        <f>SUM(Table7811172329[[#This Row],[Bus ]:[Wheelchair]])</f>
        <v>1050</v>
      </c>
    </row>
    <row r="149" spans="2:23" ht="19.2" x14ac:dyDescent="0.45">
      <c r="B149" s="8" t="s">
        <v>15</v>
      </c>
      <c r="C149" s="8" t="s">
        <v>28</v>
      </c>
      <c r="D149" s="8">
        <v>10</v>
      </c>
      <c r="E149" s="8">
        <v>2186</v>
      </c>
      <c r="F149" s="8">
        <v>313</v>
      </c>
      <c r="G149" s="8">
        <v>25</v>
      </c>
      <c r="H149" s="8">
        <v>2</v>
      </c>
      <c r="I149" s="8">
        <v>376</v>
      </c>
      <c r="J149" s="8">
        <v>44</v>
      </c>
      <c r="K149" s="11">
        <f>SUM(Table6710162228[[#This Row],[Bus ]:[Wheelchair]])</f>
        <v>2956</v>
      </c>
      <c r="L149" s="1"/>
      <c r="M149" s="1"/>
      <c r="N149" s="8" t="s">
        <v>16</v>
      </c>
      <c r="O149" s="8" t="s">
        <v>28</v>
      </c>
      <c r="P149" s="8">
        <v>0</v>
      </c>
      <c r="Q149" s="8">
        <v>18</v>
      </c>
      <c r="R149" s="8">
        <v>70</v>
      </c>
      <c r="S149" s="8">
        <v>0</v>
      </c>
      <c r="T149" s="8">
        <v>0</v>
      </c>
      <c r="U149" s="8">
        <v>0</v>
      </c>
      <c r="V149" s="8">
        <v>0</v>
      </c>
      <c r="W149" s="11">
        <f>SUM(Table7811172329[[#This Row],[Bus ]:[Wheelchair]])</f>
        <v>88</v>
      </c>
    </row>
    <row r="150" spans="2:23" ht="19.2" x14ac:dyDescent="0.45">
      <c r="B150" s="8" t="s">
        <v>16</v>
      </c>
      <c r="C150" s="8" t="s">
        <v>28</v>
      </c>
      <c r="D150" s="8">
        <v>0</v>
      </c>
      <c r="E150" s="8">
        <v>15</v>
      </c>
      <c r="F150" s="8">
        <v>44</v>
      </c>
      <c r="G150" s="8">
        <v>1</v>
      </c>
      <c r="H150" s="8">
        <v>0</v>
      </c>
      <c r="I150" s="8">
        <v>0</v>
      </c>
      <c r="J150" s="8">
        <v>0</v>
      </c>
      <c r="K150" s="11">
        <f>SUM(Table6710162228[[#This Row],[Bus ]:[Wheelchair]])</f>
        <v>60</v>
      </c>
      <c r="L150" s="1"/>
      <c r="M150" s="1"/>
      <c r="N150" s="8" t="s">
        <v>17</v>
      </c>
      <c r="O150" s="8" t="s">
        <v>28</v>
      </c>
      <c r="P150" s="8">
        <v>0</v>
      </c>
      <c r="Q150" s="8">
        <v>6</v>
      </c>
      <c r="R150" s="8">
        <v>40</v>
      </c>
      <c r="S150" s="8">
        <v>0</v>
      </c>
      <c r="T150" s="8">
        <v>0</v>
      </c>
      <c r="U150" s="8">
        <v>0</v>
      </c>
      <c r="V150" s="8">
        <v>4</v>
      </c>
      <c r="W150" s="11">
        <f>SUM(Table7811172329[[#This Row],[Bus ]:[Wheelchair]])</f>
        <v>50</v>
      </c>
    </row>
    <row r="151" spans="2:23" ht="19.2" x14ac:dyDescent="0.45">
      <c r="B151" s="8" t="s">
        <v>21</v>
      </c>
      <c r="C151" s="8" t="s">
        <v>28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1</v>
      </c>
      <c r="J151" s="8">
        <v>0</v>
      </c>
      <c r="K151" s="11">
        <f>SUM(Table6710162228[[#This Row],[Bus ]:[Wheelchair]])</f>
        <v>1</v>
      </c>
      <c r="L151" s="1"/>
      <c r="M151" s="1"/>
      <c r="N151" s="8" t="s">
        <v>18</v>
      </c>
      <c r="O151" s="8" t="s">
        <v>29</v>
      </c>
      <c r="P151" s="8">
        <v>46266</v>
      </c>
      <c r="Q151" s="8">
        <v>14112</v>
      </c>
      <c r="R151" s="8">
        <v>5479</v>
      </c>
      <c r="S151" s="8">
        <v>52573</v>
      </c>
      <c r="T151" s="8">
        <v>679</v>
      </c>
      <c r="U151" s="8">
        <v>673</v>
      </c>
      <c r="V151" s="8">
        <v>1580</v>
      </c>
      <c r="W151" s="11">
        <f>SUM(Table7811172329[[#This Row],[Bus ]:[Wheelchair]])</f>
        <v>121362</v>
      </c>
    </row>
    <row r="152" spans="2:23" ht="19.2" x14ac:dyDescent="0.45">
      <c r="B152" s="8" t="s">
        <v>17</v>
      </c>
      <c r="C152" s="8" t="s">
        <v>28</v>
      </c>
      <c r="D152" s="8">
        <v>0</v>
      </c>
      <c r="E152" s="8">
        <v>8</v>
      </c>
      <c r="F152" s="8">
        <v>30</v>
      </c>
      <c r="G152" s="8">
        <v>0</v>
      </c>
      <c r="H152" s="8">
        <v>0</v>
      </c>
      <c r="I152" s="8">
        <v>0</v>
      </c>
      <c r="J152" s="8">
        <v>0</v>
      </c>
      <c r="K152" s="11">
        <f>SUM(Table6710162228[[#This Row],[Bus ]:[Wheelchair]])</f>
        <v>38</v>
      </c>
      <c r="L152" s="1"/>
      <c r="M152" s="1"/>
      <c r="N152" s="8" t="s">
        <v>19</v>
      </c>
      <c r="O152" s="8" t="s">
        <v>29</v>
      </c>
      <c r="P152" s="8">
        <v>646</v>
      </c>
      <c r="Q152" s="8">
        <v>4331</v>
      </c>
      <c r="R152" s="8">
        <v>1008</v>
      </c>
      <c r="S152" s="8">
        <v>3539</v>
      </c>
      <c r="T152" s="8">
        <v>96</v>
      </c>
      <c r="U152" s="8">
        <v>60</v>
      </c>
      <c r="V152" s="8">
        <v>347</v>
      </c>
      <c r="W152" s="11">
        <f>SUM(Table7811172329[[#This Row],[Bus ]:[Wheelchair]])</f>
        <v>10027</v>
      </c>
    </row>
    <row r="153" spans="2:23" ht="19.2" x14ac:dyDescent="0.45">
      <c r="B153" s="8" t="s">
        <v>18</v>
      </c>
      <c r="C153" s="8" t="s">
        <v>29</v>
      </c>
      <c r="D153" s="8">
        <v>35243</v>
      </c>
      <c r="E153" s="8">
        <v>5450</v>
      </c>
      <c r="F153" s="8">
        <v>6712</v>
      </c>
      <c r="G153" s="8">
        <v>44026</v>
      </c>
      <c r="H153" s="8">
        <v>666</v>
      </c>
      <c r="I153" s="8">
        <v>8538</v>
      </c>
      <c r="J153" s="8">
        <v>1251</v>
      </c>
      <c r="K153" s="11">
        <f>SUM(Table6710162228[[#This Row],[Bus ]:[Wheelchair]])</f>
        <v>101886</v>
      </c>
      <c r="L153" s="1"/>
      <c r="M153" s="1"/>
      <c r="N153" s="20" t="s">
        <v>20</v>
      </c>
      <c r="O153" s="20"/>
      <c r="P153" s="20">
        <f>SUBTOTAL(109,Table7811172329[[Bus ]])</f>
        <v>47131</v>
      </c>
      <c r="Q153" s="20">
        <f>SUBTOTAL(109,Table7811172329[Cab])</f>
        <v>21202</v>
      </c>
      <c r="R153" s="20">
        <f>SUBTOTAL(109,Table7811172329[GMR])</f>
        <v>7969</v>
      </c>
      <c r="S153" s="20">
        <f>SUBTOTAL(109,Table7811172329[Public Entity])</f>
        <v>57697</v>
      </c>
      <c r="T153" s="20">
        <f>SUBTOTAL(109,Table7811172329[Stretcher])</f>
        <v>779</v>
      </c>
      <c r="U153" s="20">
        <f>SUBTOTAL(109,Table7811172329[TNC Vendor])</f>
        <v>787</v>
      </c>
      <c r="V153" s="20">
        <f>SUBTOTAL(109,Table7811172329[Wheelchair])</f>
        <v>2055</v>
      </c>
      <c r="W153" s="20">
        <f>SUBTOTAL(109,Table7811172329[Total])</f>
        <v>137620</v>
      </c>
    </row>
    <row r="154" spans="2:23" ht="19.2" x14ac:dyDescent="0.45">
      <c r="B154" s="8" t="s">
        <v>19</v>
      </c>
      <c r="C154" s="8" t="s">
        <v>29</v>
      </c>
      <c r="D154" s="8">
        <v>469</v>
      </c>
      <c r="E154" s="8">
        <v>3424</v>
      </c>
      <c r="F154" s="8">
        <v>1084</v>
      </c>
      <c r="G154" s="8">
        <v>4062</v>
      </c>
      <c r="H154" s="8">
        <v>76</v>
      </c>
      <c r="I154" s="8">
        <v>1219</v>
      </c>
      <c r="J154" s="8">
        <v>349</v>
      </c>
      <c r="K154" s="1">
        <f>SUM(Table6710162228[[#This Row],[Bus ]:[Wheelchair]])</f>
        <v>10683</v>
      </c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2:23" ht="19.2" x14ac:dyDescent="0.45">
      <c r="B155" s="19" t="s">
        <v>20</v>
      </c>
      <c r="C155" s="19"/>
      <c r="D155" s="19">
        <f>SUBTOTAL(109,Table6710162228[[Bus ]])</f>
        <v>35822</v>
      </c>
      <c r="E155" s="19">
        <f>SUBTOTAL(109,Table6710162228[Cab])</f>
        <v>12992</v>
      </c>
      <c r="F155" s="19">
        <f>SUBTOTAL(109,Table6710162228[GMR])</f>
        <v>9299</v>
      </c>
      <c r="G155" s="19">
        <f>SUBTOTAL(109,Table6710162228[Public Entity])</f>
        <v>49439</v>
      </c>
      <c r="H155" s="19">
        <f>SUBTOTAL(109,Table6710162228[Stretcher])</f>
        <v>744</v>
      </c>
      <c r="I155" s="19">
        <f>SUBTOTAL(109,Table6710162228[TNC Vendor])</f>
        <v>10492</v>
      </c>
      <c r="J155" s="19">
        <f>SUBTOTAL(109,Table6710162228[Wheelchair])</f>
        <v>1728</v>
      </c>
      <c r="K155" s="19">
        <f>SUBTOTAL(109,Table6710162228[Total])</f>
        <v>120516</v>
      </c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2:23" ht="19.2" x14ac:dyDescent="0.45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2:23" ht="19.2" x14ac:dyDescent="0.45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2:23" ht="19.2" x14ac:dyDescent="0.45">
      <c r="B158" s="34">
        <v>45474</v>
      </c>
      <c r="C158" s="34"/>
      <c r="D158" s="34"/>
      <c r="E158" s="35" t="s">
        <v>22</v>
      </c>
      <c r="F158" s="35"/>
      <c r="G158" s="35"/>
      <c r="H158" s="35"/>
      <c r="I158" s="35"/>
      <c r="J158" s="35"/>
      <c r="K158" s="35"/>
      <c r="L158" s="1"/>
      <c r="M158" s="1"/>
      <c r="N158" s="36">
        <v>45839</v>
      </c>
      <c r="O158" s="36"/>
      <c r="P158" s="36"/>
      <c r="Q158" s="37" t="s">
        <v>22</v>
      </c>
      <c r="R158" s="37"/>
      <c r="S158" s="37"/>
      <c r="T158" s="37"/>
      <c r="U158" s="37"/>
      <c r="V158" s="37"/>
      <c r="W158" s="37"/>
    </row>
    <row r="159" spans="2:23" ht="19.2" x14ac:dyDescent="0.45">
      <c r="B159" s="34"/>
      <c r="C159" s="34"/>
      <c r="D159" s="34"/>
      <c r="E159" s="35"/>
      <c r="F159" s="35"/>
      <c r="G159" s="35"/>
      <c r="H159" s="35"/>
      <c r="I159" s="35"/>
      <c r="J159" s="35"/>
      <c r="K159" s="35"/>
      <c r="L159" s="1"/>
      <c r="M159" s="1"/>
      <c r="N159" s="36"/>
      <c r="O159" s="36"/>
      <c r="P159" s="36"/>
      <c r="Q159" s="37"/>
      <c r="R159" s="37"/>
      <c r="S159" s="37"/>
      <c r="T159" s="37"/>
      <c r="U159" s="37"/>
      <c r="V159" s="37"/>
      <c r="W159" s="37"/>
    </row>
    <row r="160" spans="2:23" s="26" customFormat="1" ht="20.399999999999999" x14ac:dyDescent="0.45">
      <c r="B160" s="13" t="s">
        <v>23</v>
      </c>
      <c r="C160" s="13" t="s">
        <v>24</v>
      </c>
      <c r="D160" s="13" t="s">
        <v>25</v>
      </c>
      <c r="E160" s="13" t="s">
        <v>0</v>
      </c>
      <c r="F160" s="13" t="s">
        <v>26</v>
      </c>
      <c r="G160" s="13" t="s">
        <v>27</v>
      </c>
      <c r="H160" s="13" t="s">
        <v>1</v>
      </c>
      <c r="I160" s="13" t="s">
        <v>2</v>
      </c>
      <c r="J160" s="13" t="s">
        <v>3</v>
      </c>
      <c r="K160" s="13" t="s">
        <v>20</v>
      </c>
      <c r="L160" s="24"/>
      <c r="M160" s="24"/>
      <c r="N160" s="13" t="s">
        <v>23</v>
      </c>
      <c r="O160" s="13" t="s">
        <v>24</v>
      </c>
      <c r="P160" s="13" t="s">
        <v>25</v>
      </c>
      <c r="Q160" s="13" t="s">
        <v>0</v>
      </c>
      <c r="R160" s="13" t="s">
        <v>26</v>
      </c>
      <c r="S160" s="13" t="s">
        <v>27</v>
      </c>
      <c r="T160" s="13" t="s">
        <v>1</v>
      </c>
      <c r="U160" s="13" t="s">
        <v>2</v>
      </c>
      <c r="V160" s="13" t="s">
        <v>3</v>
      </c>
      <c r="W160" s="13" t="s">
        <v>20</v>
      </c>
    </row>
    <row r="161" spans="2:23" ht="19.2" x14ac:dyDescent="0.45">
      <c r="B161" s="8" t="s">
        <v>4</v>
      </c>
      <c r="C161" s="8" t="s">
        <v>28</v>
      </c>
      <c r="D161" s="8">
        <v>92</v>
      </c>
      <c r="E161" s="8">
        <v>724</v>
      </c>
      <c r="F161" s="8">
        <v>259</v>
      </c>
      <c r="G161" s="8">
        <v>635</v>
      </c>
      <c r="H161" s="8">
        <v>0</v>
      </c>
      <c r="I161" s="8">
        <v>30</v>
      </c>
      <c r="J161" s="8">
        <v>81</v>
      </c>
      <c r="K161" s="11">
        <f>SUM(Table671016222834[[#This Row],[Bus ]:[Wheelchair]])</f>
        <v>1821</v>
      </c>
      <c r="L161" s="1"/>
      <c r="M161" s="1"/>
      <c r="N161" s="8" t="s">
        <v>4</v>
      </c>
      <c r="O161" s="8" t="s">
        <v>28</v>
      </c>
      <c r="P161" s="8">
        <v>39</v>
      </c>
      <c r="Q161" s="8">
        <v>853</v>
      </c>
      <c r="R161" s="8">
        <v>220</v>
      </c>
      <c r="S161" s="8">
        <v>612</v>
      </c>
      <c r="T161" s="8">
        <v>3</v>
      </c>
      <c r="U161" s="8">
        <v>7</v>
      </c>
      <c r="V161" s="8">
        <v>117</v>
      </c>
      <c r="W161" s="11">
        <f>SUM(Table781117232935[[#This Row],[Bus ]:[Wheelchair]])</f>
        <v>1851</v>
      </c>
    </row>
    <row r="162" spans="2:23" ht="19.2" x14ac:dyDescent="0.45">
      <c r="B162" s="8" t="s">
        <v>5</v>
      </c>
      <c r="C162" s="8" t="s">
        <v>28</v>
      </c>
      <c r="D162" s="8">
        <v>0</v>
      </c>
      <c r="E162" s="8">
        <v>365</v>
      </c>
      <c r="F162" s="8">
        <v>221</v>
      </c>
      <c r="G162" s="8">
        <v>3</v>
      </c>
      <c r="H162" s="8">
        <v>0</v>
      </c>
      <c r="I162" s="8">
        <v>16</v>
      </c>
      <c r="J162" s="8">
        <v>0</v>
      </c>
      <c r="K162" s="11">
        <f>SUM(Table671016222834[[#This Row],[Bus ]:[Wheelchair]])</f>
        <v>605</v>
      </c>
      <c r="L162" s="1"/>
      <c r="M162" s="1"/>
      <c r="N162" s="8" t="s">
        <v>5</v>
      </c>
      <c r="O162" s="8" t="s">
        <v>28</v>
      </c>
      <c r="P162" s="8">
        <v>0</v>
      </c>
      <c r="Q162" s="8">
        <v>331</v>
      </c>
      <c r="R162" s="8">
        <v>159</v>
      </c>
      <c r="S162" s="8">
        <v>3</v>
      </c>
      <c r="T162" s="8">
        <v>0</v>
      </c>
      <c r="U162" s="8">
        <v>1</v>
      </c>
      <c r="V162" s="8">
        <v>7</v>
      </c>
      <c r="W162" s="11">
        <f>SUM(Table781117232935[[#This Row],[Bus ]:[Wheelchair]])</f>
        <v>501</v>
      </c>
    </row>
    <row r="163" spans="2:23" ht="19.2" x14ac:dyDescent="0.45">
      <c r="B163" s="8" t="s">
        <v>6</v>
      </c>
      <c r="C163" s="8" t="s">
        <v>28</v>
      </c>
      <c r="D163" s="8">
        <v>1</v>
      </c>
      <c r="E163" s="8">
        <v>291</v>
      </c>
      <c r="F163" s="8">
        <v>143</v>
      </c>
      <c r="G163" s="8">
        <v>0</v>
      </c>
      <c r="H163" s="8">
        <v>0</v>
      </c>
      <c r="I163" s="8">
        <v>5</v>
      </c>
      <c r="J163" s="8">
        <v>6</v>
      </c>
      <c r="K163" s="11">
        <f>SUM(Table671016222834[[#This Row],[Bus ]:[Wheelchair]])</f>
        <v>446</v>
      </c>
      <c r="L163" s="1"/>
      <c r="M163" s="1"/>
      <c r="N163" s="8" t="s">
        <v>6</v>
      </c>
      <c r="O163" s="8" t="s">
        <v>28</v>
      </c>
      <c r="P163" s="8">
        <v>3</v>
      </c>
      <c r="Q163" s="8">
        <v>392</v>
      </c>
      <c r="R163" s="8">
        <v>131</v>
      </c>
      <c r="S163" s="8">
        <v>4</v>
      </c>
      <c r="T163" s="8">
        <v>0</v>
      </c>
      <c r="U163" s="8">
        <v>3</v>
      </c>
      <c r="V163" s="8">
        <v>12</v>
      </c>
      <c r="W163" s="11">
        <f>SUM(Table781117232935[[#This Row],[Bus ]:[Wheelchair]])</f>
        <v>545</v>
      </c>
    </row>
    <row r="164" spans="2:23" ht="19.2" x14ac:dyDescent="0.45">
      <c r="B164" s="8" t="s">
        <v>7</v>
      </c>
      <c r="C164" s="8" t="s">
        <v>28</v>
      </c>
      <c r="D164" s="8">
        <v>0</v>
      </c>
      <c r="E164" s="8">
        <v>184</v>
      </c>
      <c r="F164" s="8">
        <v>213</v>
      </c>
      <c r="G164" s="8">
        <v>968</v>
      </c>
      <c r="H164" s="8">
        <v>0</v>
      </c>
      <c r="I164" s="8">
        <v>63</v>
      </c>
      <c r="J164" s="8">
        <v>2</v>
      </c>
      <c r="K164" s="11">
        <f>SUM(Table671016222834[[#This Row],[Bus ]:[Wheelchair]])</f>
        <v>1430</v>
      </c>
      <c r="L164" s="1"/>
      <c r="M164" s="1"/>
      <c r="N164" s="8" t="s">
        <v>7</v>
      </c>
      <c r="O164" s="8" t="s">
        <v>28</v>
      </c>
      <c r="P164" s="8">
        <v>0</v>
      </c>
      <c r="Q164" s="8">
        <v>142</v>
      </c>
      <c r="R164" s="8">
        <v>150</v>
      </c>
      <c r="S164" s="8">
        <v>1101</v>
      </c>
      <c r="T164" s="8">
        <v>0</v>
      </c>
      <c r="U164" s="8">
        <v>3</v>
      </c>
      <c r="V164" s="8">
        <v>1</v>
      </c>
      <c r="W164" s="11">
        <f>SUM(Table781117232935[[#This Row],[Bus ]:[Wheelchair]])</f>
        <v>1397</v>
      </c>
    </row>
    <row r="165" spans="2:23" ht="19.2" x14ac:dyDescent="0.45">
      <c r="B165" s="8" t="s">
        <v>8</v>
      </c>
      <c r="C165" s="8" t="s">
        <v>28</v>
      </c>
      <c r="D165" s="8">
        <v>0</v>
      </c>
      <c r="E165" s="8">
        <v>20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11">
        <f>SUM(Table671016222834[[#This Row],[Bus ]:[Wheelchair]])</f>
        <v>20</v>
      </c>
      <c r="L165" s="1"/>
      <c r="M165" s="1"/>
      <c r="N165" s="8" t="s">
        <v>9</v>
      </c>
      <c r="O165" s="8" t="s">
        <v>28</v>
      </c>
      <c r="P165" s="8">
        <v>0</v>
      </c>
      <c r="Q165" s="8">
        <v>25</v>
      </c>
      <c r="R165" s="8">
        <v>5</v>
      </c>
      <c r="S165" s="8">
        <v>0</v>
      </c>
      <c r="T165" s="8">
        <v>0</v>
      </c>
      <c r="U165" s="8">
        <v>0</v>
      </c>
      <c r="V165" s="8">
        <v>0</v>
      </c>
      <c r="W165" s="11">
        <f>SUM(Table781117232935[[#This Row],[Bus ]:[Wheelchair]])</f>
        <v>30</v>
      </c>
    </row>
    <row r="166" spans="2:23" ht="19.2" x14ac:dyDescent="0.45">
      <c r="B166" s="8" t="s">
        <v>9</v>
      </c>
      <c r="C166" s="8" t="s">
        <v>28</v>
      </c>
      <c r="D166" s="8">
        <v>0</v>
      </c>
      <c r="E166" s="8">
        <v>2</v>
      </c>
      <c r="F166" s="8">
        <v>2</v>
      </c>
      <c r="G166" s="8">
        <v>0</v>
      </c>
      <c r="H166" s="8">
        <v>0</v>
      </c>
      <c r="I166" s="8">
        <v>1</v>
      </c>
      <c r="J166" s="8">
        <v>0</v>
      </c>
      <c r="K166" s="11">
        <f>SUM(Table671016222834[[#This Row],[Bus ]:[Wheelchair]])</f>
        <v>5</v>
      </c>
      <c r="L166" s="1"/>
      <c r="M166" s="1"/>
      <c r="N166" s="8" t="s">
        <v>10</v>
      </c>
      <c r="O166" s="8" t="s">
        <v>28</v>
      </c>
      <c r="P166" s="8">
        <v>0</v>
      </c>
      <c r="Q166" s="8">
        <v>21</v>
      </c>
      <c r="R166" s="8">
        <v>22</v>
      </c>
      <c r="S166" s="8">
        <v>0</v>
      </c>
      <c r="T166" s="8">
        <v>3</v>
      </c>
      <c r="U166" s="8">
        <v>0</v>
      </c>
      <c r="V166" s="8">
        <v>5</v>
      </c>
      <c r="W166" s="11">
        <f>SUM(Table781117232935[[#This Row],[Bus ]:[Wheelchair]])</f>
        <v>51</v>
      </c>
    </row>
    <row r="167" spans="2:23" ht="19.2" x14ac:dyDescent="0.45">
      <c r="B167" s="8" t="s">
        <v>10</v>
      </c>
      <c r="C167" s="8" t="s">
        <v>28</v>
      </c>
      <c r="D167" s="8">
        <v>0</v>
      </c>
      <c r="E167" s="8">
        <v>43</v>
      </c>
      <c r="F167" s="8">
        <v>112</v>
      </c>
      <c r="G167" s="8">
        <v>0</v>
      </c>
      <c r="H167" s="8">
        <v>0</v>
      </c>
      <c r="I167" s="8">
        <v>1</v>
      </c>
      <c r="J167" s="8">
        <v>0</v>
      </c>
      <c r="K167" s="11">
        <f>SUM(Table671016222834[[#This Row],[Bus ]:[Wheelchair]])</f>
        <v>156</v>
      </c>
      <c r="L167" s="1"/>
      <c r="M167" s="1"/>
      <c r="N167" s="8" t="s">
        <v>11</v>
      </c>
      <c r="O167" s="8" t="s">
        <v>28</v>
      </c>
      <c r="P167" s="8">
        <v>0</v>
      </c>
      <c r="Q167" s="8">
        <v>7</v>
      </c>
      <c r="R167" s="8">
        <v>14</v>
      </c>
      <c r="S167" s="8">
        <v>0</v>
      </c>
      <c r="T167" s="8">
        <v>0</v>
      </c>
      <c r="U167" s="8">
        <v>0</v>
      </c>
      <c r="V167" s="8">
        <v>0</v>
      </c>
      <c r="W167" s="11">
        <f>SUM(Table781117232935[[#This Row],[Bus ]:[Wheelchair]])</f>
        <v>21</v>
      </c>
    </row>
    <row r="168" spans="2:23" ht="19.2" x14ac:dyDescent="0.45">
      <c r="B168" s="8" t="s">
        <v>11</v>
      </c>
      <c r="C168" s="8" t="s">
        <v>28</v>
      </c>
      <c r="D168" s="8">
        <v>0</v>
      </c>
      <c r="E168" s="8">
        <v>23</v>
      </c>
      <c r="F168" s="8">
        <v>8</v>
      </c>
      <c r="G168" s="8">
        <v>0</v>
      </c>
      <c r="H168" s="8">
        <v>0</v>
      </c>
      <c r="I168" s="8">
        <v>4</v>
      </c>
      <c r="J168" s="8">
        <v>0</v>
      </c>
      <c r="K168" s="11">
        <f>SUM(Table671016222834[[#This Row],[Bus ]:[Wheelchair]])</f>
        <v>35</v>
      </c>
      <c r="L168" s="1"/>
      <c r="M168" s="1"/>
      <c r="N168" s="8" t="s">
        <v>12</v>
      </c>
      <c r="O168" s="8" t="s">
        <v>28</v>
      </c>
      <c r="P168" s="8">
        <v>0</v>
      </c>
      <c r="Q168" s="8">
        <v>19</v>
      </c>
      <c r="R168" s="8">
        <v>2</v>
      </c>
      <c r="S168" s="8">
        <v>0</v>
      </c>
      <c r="T168" s="8">
        <v>0</v>
      </c>
      <c r="U168" s="8">
        <v>0</v>
      </c>
      <c r="V168" s="8">
        <v>0</v>
      </c>
      <c r="W168" s="11">
        <f>SUM(Table781117232935[[#This Row],[Bus ]:[Wheelchair]])</f>
        <v>21</v>
      </c>
    </row>
    <row r="169" spans="2:23" ht="19.2" x14ac:dyDescent="0.45">
      <c r="B169" s="8" t="s">
        <v>12</v>
      </c>
      <c r="C169" s="8" t="s">
        <v>28</v>
      </c>
      <c r="D169" s="8">
        <v>0</v>
      </c>
      <c r="E169" s="8">
        <v>1</v>
      </c>
      <c r="F169" s="8">
        <v>1</v>
      </c>
      <c r="G169" s="8">
        <v>0</v>
      </c>
      <c r="H169" s="8">
        <v>0</v>
      </c>
      <c r="I169" s="8">
        <v>0</v>
      </c>
      <c r="J169" s="8">
        <v>0</v>
      </c>
      <c r="K169" s="11">
        <f>SUM(Table671016222834[[#This Row],[Bus ]:[Wheelchair]])</f>
        <v>2</v>
      </c>
      <c r="L169" s="1"/>
      <c r="M169" s="1"/>
      <c r="N169" s="8" t="s">
        <v>13</v>
      </c>
      <c r="O169" s="8" t="s">
        <v>28</v>
      </c>
      <c r="P169" s="8">
        <v>0</v>
      </c>
      <c r="Q169" s="8">
        <v>369</v>
      </c>
      <c r="R169" s="8">
        <v>309</v>
      </c>
      <c r="S169" s="8">
        <v>2</v>
      </c>
      <c r="T169" s="8">
        <v>0</v>
      </c>
      <c r="U169" s="8">
        <v>2</v>
      </c>
      <c r="V169" s="8">
        <v>15</v>
      </c>
      <c r="W169" s="11">
        <f>SUM(Table781117232935[[#This Row],[Bus ]:[Wheelchair]])</f>
        <v>697</v>
      </c>
    </row>
    <row r="170" spans="2:23" ht="19.2" x14ac:dyDescent="0.45">
      <c r="B170" s="8" t="s">
        <v>13</v>
      </c>
      <c r="C170" s="8" t="s">
        <v>28</v>
      </c>
      <c r="D170" s="8">
        <v>0</v>
      </c>
      <c r="E170" s="8">
        <v>384</v>
      </c>
      <c r="F170" s="8">
        <v>205</v>
      </c>
      <c r="G170" s="8">
        <v>0</v>
      </c>
      <c r="H170" s="8">
        <v>0</v>
      </c>
      <c r="I170" s="8">
        <v>37</v>
      </c>
      <c r="J170" s="8">
        <v>9</v>
      </c>
      <c r="K170" s="11">
        <f>SUM(Table671016222834[[#This Row],[Bus ]:[Wheelchair]])</f>
        <v>635</v>
      </c>
      <c r="L170" s="1"/>
      <c r="M170" s="1"/>
      <c r="N170" s="8" t="s">
        <v>14</v>
      </c>
      <c r="O170" s="8" t="s">
        <v>28</v>
      </c>
      <c r="P170" s="8">
        <v>0</v>
      </c>
      <c r="Q170" s="8">
        <v>90</v>
      </c>
      <c r="R170" s="8">
        <v>7</v>
      </c>
      <c r="S170" s="8">
        <v>0</v>
      </c>
      <c r="T170" s="8">
        <v>0</v>
      </c>
      <c r="U170" s="8">
        <v>0</v>
      </c>
      <c r="V170" s="8">
        <v>5</v>
      </c>
      <c r="W170" s="11">
        <f>SUM(Table781117232935[[#This Row],[Bus ]:[Wheelchair]])</f>
        <v>102</v>
      </c>
    </row>
    <row r="171" spans="2:23" ht="19.2" x14ac:dyDescent="0.45">
      <c r="B171" s="8" t="s">
        <v>14</v>
      </c>
      <c r="C171" s="8" t="s">
        <v>28</v>
      </c>
      <c r="D171" s="8">
        <v>0</v>
      </c>
      <c r="E171" s="8">
        <v>91</v>
      </c>
      <c r="F171" s="8">
        <v>8</v>
      </c>
      <c r="G171" s="8">
        <v>0</v>
      </c>
      <c r="H171" s="8">
        <v>0</v>
      </c>
      <c r="I171" s="8">
        <v>0</v>
      </c>
      <c r="J171" s="8">
        <v>1</v>
      </c>
      <c r="K171" s="11">
        <f>SUM(Table671016222834[[#This Row],[Bus ]:[Wheelchair]])</f>
        <v>100</v>
      </c>
      <c r="L171" s="1"/>
      <c r="M171" s="1"/>
      <c r="N171" s="8" t="s">
        <v>15</v>
      </c>
      <c r="O171" s="8" t="s">
        <v>28</v>
      </c>
      <c r="P171" s="8">
        <v>136</v>
      </c>
      <c r="Q171" s="8">
        <v>658</v>
      </c>
      <c r="R171" s="8">
        <v>430</v>
      </c>
      <c r="S171" s="8">
        <v>5</v>
      </c>
      <c r="T171" s="8">
        <v>10</v>
      </c>
      <c r="U171" s="8">
        <v>15</v>
      </c>
      <c r="V171" s="8">
        <v>31</v>
      </c>
      <c r="W171" s="11">
        <f>SUM(Table781117232935[[#This Row],[Bus ]:[Wheelchair]])</f>
        <v>1285</v>
      </c>
    </row>
    <row r="172" spans="2:23" ht="19.2" x14ac:dyDescent="0.45">
      <c r="B172" s="8" t="s">
        <v>15</v>
      </c>
      <c r="C172" s="8" t="s">
        <v>28</v>
      </c>
      <c r="D172" s="8">
        <v>64</v>
      </c>
      <c r="E172" s="8">
        <v>2684</v>
      </c>
      <c r="F172" s="8">
        <v>315</v>
      </c>
      <c r="G172" s="8">
        <v>7</v>
      </c>
      <c r="H172" s="8">
        <v>5</v>
      </c>
      <c r="I172" s="8">
        <v>193</v>
      </c>
      <c r="J172" s="8">
        <v>55</v>
      </c>
      <c r="K172" s="11">
        <f>SUM(Table671016222834[[#This Row],[Bus ]:[Wheelchair]])</f>
        <v>3323</v>
      </c>
      <c r="L172" s="1"/>
      <c r="M172" s="1"/>
      <c r="N172" s="8" t="s">
        <v>16</v>
      </c>
      <c r="O172" s="8" t="s">
        <v>28</v>
      </c>
      <c r="P172" s="8">
        <v>0</v>
      </c>
      <c r="Q172" s="8">
        <v>37</v>
      </c>
      <c r="R172" s="8">
        <v>83</v>
      </c>
      <c r="S172" s="8">
        <v>0</v>
      </c>
      <c r="T172" s="8">
        <v>0</v>
      </c>
      <c r="U172" s="8">
        <v>0</v>
      </c>
      <c r="V172" s="8">
        <v>2</v>
      </c>
      <c r="W172" s="11">
        <f>SUM(Table781117232935[[#This Row],[Bus ]:[Wheelchair]])</f>
        <v>122</v>
      </c>
    </row>
    <row r="173" spans="2:23" ht="19.2" x14ac:dyDescent="0.45">
      <c r="B173" s="8" t="s">
        <v>16</v>
      </c>
      <c r="C173" s="8" t="s">
        <v>28</v>
      </c>
      <c r="D173" s="8">
        <v>0</v>
      </c>
      <c r="E173" s="8">
        <v>13</v>
      </c>
      <c r="F173" s="8">
        <v>66</v>
      </c>
      <c r="G173" s="8">
        <v>2</v>
      </c>
      <c r="H173" s="8">
        <v>0</v>
      </c>
      <c r="I173" s="8">
        <v>0</v>
      </c>
      <c r="J173" s="8">
        <v>0</v>
      </c>
      <c r="K173" s="11">
        <f>SUM(Table671016222834[[#This Row],[Bus ]:[Wheelchair]])</f>
        <v>81</v>
      </c>
      <c r="L173" s="1"/>
      <c r="M173" s="1"/>
      <c r="N173" s="8" t="s">
        <v>17</v>
      </c>
      <c r="O173" s="8" t="s">
        <v>28</v>
      </c>
      <c r="P173" s="8">
        <v>0</v>
      </c>
      <c r="Q173" s="8">
        <v>8</v>
      </c>
      <c r="R173" s="8">
        <v>50</v>
      </c>
      <c r="S173" s="8">
        <v>0</v>
      </c>
      <c r="T173" s="8">
        <v>0</v>
      </c>
      <c r="U173" s="8">
        <v>0</v>
      </c>
      <c r="V173" s="8">
        <v>1</v>
      </c>
      <c r="W173" s="11">
        <f>SUM(Table781117232935[[#This Row],[Bus ]:[Wheelchair]])</f>
        <v>59</v>
      </c>
    </row>
    <row r="174" spans="2:23" ht="19.2" x14ac:dyDescent="0.45">
      <c r="B174" s="8" t="s">
        <v>21</v>
      </c>
      <c r="C174" s="8" t="s">
        <v>28</v>
      </c>
      <c r="D174" s="8">
        <v>0</v>
      </c>
      <c r="E174" s="8">
        <v>0</v>
      </c>
      <c r="F174" s="8">
        <v>1</v>
      </c>
      <c r="G174" s="8">
        <v>0</v>
      </c>
      <c r="H174" s="8">
        <v>0</v>
      </c>
      <c r="I174" s="8">
        <v>0</v>
      </c>
      <c r="J174" s="8">
        <v>0</v>
      </c>
      <c r="K174" s="11">
        <f>SUM(Table671016222834[[#This Row],[Bus ]:[Wheelchair]])</f>
        <v>1</v>
      </c>
      <c r="L174" s="1"/>
      <c r="M174" s="1"/>
      <c r="N174" s="8" t="s">
        <v>18</v>
      </c>
      <c r="O174" s="8" t="s">
        <v>29</v>
      </c>
      <c r="P174" s="8">
        <v>56253</v>
      </c>
      <c r="Q174" s="8">
        <v>14258</v>
      </c>
      <c r="R174" s="8">
        <v>5977</v>
      </c>
      <c r="S174" s="8">
        <v>58358</v>
      </c>
      <c r="T174" s="8">
        <v>556</v>
      </c>
      <c r="U174" s="8">
        <v>635</v>
      </c>
      <c r="V174" s="8">
        <v>1730</v>
      </c>
      <c r="W174" s="11">
        <f>SUM(Table781117232935[[#This Row],[Bus ]:[Wheelchair]])</f>
        <v>137767</v>
      </c>
    </row>
    <row r="175" spans="2:23" ht="19.2" x14ac:dyDescent="0.45">
      <c r="B175" s="8" t="s">
        <v>17</v>
      </c>
      <c r="C175" s="8" t="s">
        <v>28</v>
      </c>
      <c r="D175" s="8">
        <v>0</v>
      </c>
      <c r="E175" s="8">
        <v>7</v>
      </c>
      <c r="F175" s="8">
        <v>28</v>
      </c>
      <c r="G175" s="8">
        <v>0</v>
      </c>
      <c r="H175" s="8">
        <v>0</v>
      </c>
      <c r="I175" s="8">
        <v>0</v>
      </c>
      <c r="J175" s="8">
        <v>1</v>
      </c>
      <c r="K175" s="11">
        <f>SUM(Table671016222834[[#This Row],[Bus ]:[Wheelchair]])</f>
        <v>36</v>
      </c>
      <c r="L175" s="1"/>
      <c r="M175" s="1"/>
      <c r="N175" s="8" t="s">
        <v>19</v>
      </c>
      <c r="O175" s="8" t="s">
        <v>29</v>
      </c>
      <c r="P175" s="8">
        <v>642</v>
      </c>
      <c r="Q175" s="8">
        <v>4895</v>
      </c>
      <c r="R175" s="8">
        <v>990</v>
      </c>
      <c r="S175" s="8">
        <v>3607</v>
      </c>
      <c r="T175" s="8">
        <v>92</v>
      </c>
      <c r="U175" s="8">
        <v>48</v>
      </c>
      <c r="V175" s="8">
        <v>461</v>
      </c>
      <c r="W175" s="11">
        <f>SUM(Table781117232935[[#This Row],[Bus ]:[Wheelchair]])</f>
        <v>10735</v>
      </c>
    </row>
    <row r="176" spans="2:23" ht="19.2" x14ac:dyDescent="0.45">
      <c r="B176" s="8" t="s">
        <v>18</v>
      </c>
      <c r="C176" s="8" t="s">
        <v>29</v>
      </c>
      <c r="D176" s="8">
        <v>44048</v>
      </c>
      <c r="E176" s="8">
        <v>14958</v>
      </c>
      <c r="F176" s="8">
        <v>7003</v>
      </c>
      <c r="G176" s="8">
        <v>48073</v>
      </c>
      <c r="H176" s="8">
        <v>670</v>
      </c>
      <c r="I176" s="8">
        <v>1961</v>
      </c>
      <c r="J176" s="8">
        <v>1382</v>
      </c>
      <c r="K176" s="11">
        <f>SUM(Table671016222834[[#This Row],[Bus ]:[Wheelchair]])</f>
        <v>118095</v>
      </c>
      <c r="L176" s="1"/>
      <c r="M176" s="1"/>
      <c r="N176" s="20" t="s">
        <v>20</v>
      </c>
      <c r="O176" s="20"/>
      <c r="P176" s="20">
        <f>SUBTOTAL(109,Table781117232935[[Bus ]])</f>
        <v>57073</v>
      </c>
      <c r="Q176" s="20">
        <f>SUBTOTAL(109,Table781117232935[Cab])</f>
        <v>22105</v>
      </c>
      <c r="R176" s="20">
        <f>SUBTOTAL(109,Table781117232935[GMR])</f>
        <v>8549</v>
      </c>
      <c r="S176" s="20">
        <f>SUBTOTAL(109,Table781117232935[Public Entity])</f>
        <v>63692</v>
      </c>
      <c r="T176" s="20">
        <f>SUBTOTAL(109,Table781117232935[Stretcher])</f>
        <v>664</v>
      </c>
      <c r="U176" s="20">
        <f>SUBTOTAL(109,Table781117232935[TNC Vendor])</f>
        <v>714</v>
      </c>
      <c r="V176" s="20">
        <f>SUBTOTAL(109,Table781117232935[Wheelchair])</f>
        <v>2387</v>
      </c>
      <c r="W176" s="20">
        <f>SUBTOTAL(109,Table781117232935[Total])</f>
        <v>155184</v>
      </c>
    </row>
    <row r="177" spans="2:23" ht="19.2" x14ac:dyDescent="0.45">
      <c r="B177" s="8" t="s">
        <v>19</v>
      </c>
      <c r="C177" s="8" t="s">
        <v>29</v>
      </c>
      <c r="D177" s="8">
        <v>523</v>
      </c>
      <c r="E177" s="8">
        <v>5495</v>
      </c>
      <c r="F177" s="8">
        <v>1145</v>
      </c>
      <c r="G177" s="8">
        <v>3950</v>
      </c>
      <c r="H177" s="8">
        <v>68</v>
      </c>
      <c r="I177" s="8">
        <v>243</v>
      </c>
      <c r="J177" s="8">
        <v>432</v>
      </c>
      <c r="K177" s="1">
        <f>SUM(Table671016222834[[#This Row],[Bus ]:[Wheelchair]])</f>
        <v>11856</v>
      </c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2:23" ht="19.2" x14ac:dyDescent="0.45">
      <c r="B178" s="19" t="s">
        <v>20</v>
      </c>
      <c r="C178" s="19"/>
      <c r="D178" s="19">
        <f>SUBTOTAL(109,Table671016222834[[Bus ]])</f>
        <v>44728</v>
      </c>
      <c r="E178" s="19">
        <f>SUBTOTAL(109,Table671016222834[Cab])</f>
        <v>25285</v>
      </c>
      <c r="F178" s="19">
        <f>SUBTOTAL(109,Table671016222834[GMR])</f>
        <v>9730</v>
      </c>
      <c r="G178" s="19">
        <f>SUBTOTAL(109,Table671016222834[Public Entity])</f>
        <v>53638</v>
      </c>
      <c r="H178" s="19">
        <f>SUBTOTAL(109,Table671016222834[Stretcher])</f>
        <v>743</v>
      </c>
      <c r="I178" s="19">
        <f>SUBTOTAL(109,Table671016222834[TNC Vendor])</f>
        <v>2554</v>
      </c>
      <c r="J178" s="19">
        <f>SUBTOTAL(109,Table671016222834[Wheelchair])</f>
        <v>1969</v>
      </c>
      <c r="K178" s="19">
        <f>SUBTOTAL(109,Table671016222834[Total])</f>
        <v>138647</v>
      </c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2:23" ht="19.2" x14ac:dyDescent="0.45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2:23" ht="19.2" x14ac:dyDescent="0.45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2:23" ht="19.2" x14ac:dyDescent="0.45">
      <c r="B181" s="34">
        <v>45505</v>
      </c>
      <c r="C181" s="34"/>
      <c r="D181" s="34"/>
      <c r="E181" s="35" t="s">
        <v>22</v>
      </c>
      <c r="F181" s="35"/>
      <c r="G181" s="35"/>
      <c r="H181" s="35"/>
      <c r="I181" s="35"/>
      <c r="J181" s="35"/>
      <c r="K181" s="35"/>
      <c r="L181" s="1"/>
      <c r="M181" s="1"/>
      <c r="N181" s="36">
        <v>45870</v>
      </c>
      <c r="O181" s="36"/>
      <c r="P181" s="36"/>
      <c r="Q181" s="37" t="s">
        <v>22</v>
      </c>
      <c r="R181" s="37"/>
      <c r="S181" s="37"/>
      <c r="T181" s="37"/>
      <c r="U181" s="37"/>
      <c r="V181" s="37"/>
      <c r="W181" s="37"/>
    </row>
    <row r="182" spans="2:23" ht="19.2" x14ac:dyDescent="0.45">
      <c r="B182" s="34"/>
      <c r="C182" s="34"/>
      <c r="D182" s="34"/>
      <c r="E182" s="35"/>
      <c r="F182" s="35"/>
      <c r="G182" s="35"/>
      <c r="H182" s="35"/>
      <c r="I182" s="35"/>
      <c r="J182" s="35"/>
      <c r="K182" s="35"/>
      <c r="L182" s="1"/>
      <c r="M182" s="1"/>
      <c r="N182" s="36"/>
      <c r="O182" s="36"/>
      <c r="P182" s="36"/>
      <c r="Q182" s="37"/>
      <c r="R182" s="37"/>
      <c r="S182" s="37"/>
      <c r="T182" s="37"/>
      <c r="U182" s="37"/>
      <c r="V182" s="37"/>
      <c r="W182" s="37"/>
    </row>
    <row r="183" spans="2:23" s="26" customFormat="1" ht="20.399999999999999" x14ac:dyDescent="0.45">
      <c r="B183" s="13" t="s">
        <v>23</v>
      </c>
      <c r="C183" s="13" t="s">
        <v>24</v>
      </c>
      <c r="D183" s="13" t="s">
        <v>25</v>
      </c>
      <c r="E183" s="13" t="s">
        <v>0</v>
      </c>
      <c r="F183" s="13" t="s">
        <v>26</v>
      </c>
      <c r="G183" s="13" t="s">
        <v>27</v>
      </c>
      <c r="H183" s="13" t="s">
        <v>1</v>
      </c>
      <c r="I183" s="13" t="s">
        <v>2</v>
      </c>
      <c r="J183" s="13" t="s">
        <v>3</v>
      </c>
      <c r="K183" s="13" t="s">
        <v>20</v>
      </c>
      <c r="L183" s="24"/>
      <c r="M183" s="24"/>
      <c r="N183" s="13" t="s">
        <v>23</v>
      </c>
      <c r="O183" s="13" t="s">
        <v>24</v>
      </c>
      <c r="P183" s="13" t="s">
        <v>25</v>
      </c>
      <c r="Q183" s="13" t="s">
        <v>0</v>
      </c>
      <c r="R183" s="13" t="s">
        <v>26</v>
      </c>
      <c r="S183" s="13" t="s">
        <v>27</v>
      </c>
      <c r="T183" s="13" t="s">
        <v>1</v>
      </c>
      <c r="U183" s="13" t="s">
        <v>2</v>
      </c>
      <c r="V183" s="13" t="s">
        <v>3</v>
      </c>
      <c r="W183" s="13" t="s">
        <v>20</v>
      </c>
    </row>
    <row r="184" spans="2:23" ht="19.2" x14ac:dyDescent="0.45">
      <c r="B184" s="8" t="s">
        <v>4</v>
      </c>
      <c r="C184" s="8" t="s">
        <v>28</v>
      </c>
      <c r="D184" s="8">
        <v>22</v>
      </c>
      <c r="E184" s="8">
        <v>974</v>
      </c>
      <c r="F184" s="8">
        <v>229</v>
      </c>
      <c r="G184" s="8">
        <v>656</v>
      </c>
      <c r="H184" s="8">
        <v>0</v>
      </c>
      <c r="I184" s="8">
        <v>20</v>
      </c>
      <c r="J184" s="8">
        <v>86</v>
      </c>
      <c r="K184" s="11">
        <f>SUM(Table67101622283440[[#This Row],[Bus ]:[Wheelchair]])</f>
        <v>1987</v>
      </c>
      <c r="L184" s="1"/>
      <c r="M184" s="1"/>
      <c r="N184" s="8" t="s">
        <v>4</v>
      </c>
      <c r="O184" s="8" t="s">
        <v>28</v>
      </c>
      <c r="P184" s="8">
        <v>72</v>
      </c>
      <c r="Q184" s="8">
        <v>807</v>
      </c>
      <c r="R184" s="8">
        <v>229</v>
      </c>
      <c r="S184" s="8">
        <v>644</v>
      </c>
      <c r="T184" s="8">
        <v>8</v>
      </c>
      <c r="U184" s="8">
        <v>6</v>
      </c>
      <c r="V184" s="8">
        <v>97</v>
      </c>
      <c r="W184" s="11">
        <f>SUM(Table78111723293541[[#This Row],[Bus ]:[Wheelchair]])</f>
        <v>1863</v>
      </c>
    </row>
    <row r="185" spans="2:23" ht="19.2" x14ac:dyDescent="0.45">
      <c r="B185" s="8" t="s">
        <v>5</v>
      </c>
      <c r="C185" s="8" t="s">
        <v>28</v>
      </c>
      <c r="D185" s="8">
        <v>0</v>
      </c>
      <c r="E185" s="8">
        <v>374</v>
      </c>
      <c r="F185" s="8">
        <v>181</v>
      </c>
      <c r="G185" s="8">
        <v>3</v>
      </c>
      <c r="H185" s="8">
        <v>0</v>
      </c>
      <c r="I185" s="8">
        <v>43</v>
      </c>
      <c r="J185" s="8">
        <v>10</v>
      </c>
      <c r="K185" s="11">
        <f>SUM(Table67101622283440[[#This Row],[Bus ]:[Wheelchair]])</f>
        <v>611</v>
      </c>
      <c r="L185" s="1"/>
      <c r="M185" s="1"/>
      <c r="N185" s="8" t="s">
        <v>5</v>
      </c>
      <c r="O185" s="8" t="s">
        <v>28</v>
      </c>
      <c r="P185" s="8">
        <v>1</v>
      </c>
      <c r="Q185" s="8">
        <v>352</v>
      </c>
      <c r="R185" s="8">
        <v>149</v>
      </c>
      <c r="S185" s="8">
        <v>2</v>
      </c>
      <c r="T185" s="8">
        <v>1</v>
      </c>
      <c r="U185" s="8">
        <v>0</v>
      </c>
      <c r="V185" s="8">
        <v>32</v>
      </c>
      <c r="W185" s="11">
        <f>SUM(Table78111723293541[[#This Row],[Bus ]:[Wheelchair]])</f>
        <v>537</v>
      </c>
    </row>
    <row r="186" spans="2:23" ht="19.2" x14ac:dyDescent="0.45">
      <c r="B186" s="8" t="s">
        <v>6</v>
      </c>
      <c r="C186" s="8" t="s">
        <v>28</v>
      </c>
      <c r="D186" s="8">
        <v>1</v>
      </c>
      <c r="E186" s="8">
        <v>318</v>
      </c>
      <c r="F186" s="8">
        <v>125</v>
      </c>
      <c r="G186" s="8">
        <v>0</v>
      </c>
      <c r="H186" s="8">
        <v>0</v>
      </c>
      <c r="I186" s="8">
        <v>1</v>
      </c>
      <c r="J186" s="8">
        <v>7</v>
      </c>
      <c r="K186" s="11">
        <f>SUM(Table67101622283440[[#This Row],[Bus ]:[Wheelchair]])</f>
        <v>452</v>
      </c>
      <c r="L186" s="1"/>
      <c r="M186" s="1"/>
      <c r="N186" s="8" t="s">
        <v>6</v>
      </c>
      <c r="O186" s="8" t="s">
        <v>28</v>
      </c>
      <c r="P186" s="8">
        <v>1</v>
      </c>
      <c r="Q186" s="8">
        <v>345</v>
      </c>
      <c r="R186" s="8">
        <v>166</v>
      </c>
      <c r="S186" s="8">
        <v>2</v>
      </c>
      <c r="T186" s="8">
        <v>0</v>
      </c>
      <c r="U186" s="8">
        <v>4</v>
      </c>
      <c r="V186" s="8">
        <v>13</v>
      </c>
      <c r="W186" s="11">
        <f>SUM(Table78111723293541[[#This Row],[Bus ]:[Wheelchair]])</f>
        <v>531</v>
      </c>
    </row>
    <row r="187" spans="2:23" ht="19.2" x14ac:dyDescent="0.45">
      <c r="B187" s="8" t="s">
        <v>7</v>
      </c>
      <c r="C187" s="8" t="s">
        <v>28</v>
      </c>
      <c r="D187" s="8">
        <v>0</v>
      </c>
      <c r="E187" s="8">
        <v>134</v>
      </c>
      <c r="F187" s="8">
        <v>193</v>
      </c>
      <c r="G187" s="8">
        <v>956</v>
      </c>
      <c r="H187" s="8">
        <v>0</v>
      </c>
      <c r="I187" s="8">
        <v>25</v>
      </c>
      <c r="J187" s="8">
        <v>1</v>
      </c>
      <c r="K187" s="11">
        <f>SUM(Table67101622283440[[#This Row],[Bus ]:[Wheelchair]])</f>
        <v>1309</v>
      </c>
      <c r="L187" s="1"/>
      <c r="M187" s="1"/>
      <c r="N187" s="8" t="s">
        <v>7</v>
      </c>
      <c r="O187" s="8" t="s">
        <v>28</v>
      </c>
      <c r="P187" s="8">
        <v>0</v>
      </c>
      <c r="Q187" s="8">
        <v>173</v>
      </c>
      <c r="R187" s="8">
        <v>159</v>
      </c>
      <c r="S187" s="8">
        <v>1052</v>
      </c>
      <c r="T187" s="8">
        <v>0</v>
      </c>
      <c r="U187" s="8">
        <v>8</v>
      </c>
      <c r="V187" s="8">
        <v>0</v>
      </c>
      <c r="W187" s="11">
        <f>SUM(Table78111723293541[[#This Row],[Bus ]:[Wheelchair]])</f>
        <v>1392</v>
      </c>
    </row>
    <row r="188" spans="2:23" ht="19.2" x14ac:dyDescent="0.45">
      <c r="B188" s="8" t="s">
        <v>8</v>
      </c>
      <c r="C188" s="8" t="s">
        <v>28</v>
      </c>
      <c r="D188" s="8">
        <v>0</v>
      </c>
      <c r="E188" s="8">
        <v>18</v>
      </c>
      <c r="F188" s="8">
        <v>0</v>
      </c>
      <c r="G188" s="8">
        <v>0</v>
      </c>
      <c r="H188" s="8">
        <v>0</v>
      </c>
      <c r="I188" s="8">
        <v>1</v>
      </c>
      <c r="J188" s="8">
        <v>0</v>
      </c>
      <c r="K188" s="11">
        <f>SUM(Table67101622283440[[#This Row],[Bus ]:[Wheelchair]])</f>
        <v>19</v>
      </c>
      <c r="L188" s="1"/>
      <c r="M188" s="1"/>
      <c r="N188" s="8" t="s">
        <v>8</v>
      </c>
      <c r="O188" s="8" t="s">
        <v>28</v>
      </c>
      <c r="P188" s="8">
        <v>0</v>
      </c>
      <c r="Q188" s="8">
        <v>23</v>
      </c>
      <c r="R188" s="8">
        <v>0</v>
      </c>
      <c r="S188" s="8">
        <v>0</v>
      </c>
      <c r="T188" s="8">
        <v>0</v>
      </c>
      <c r="U188" s="8">
        <v>0</v>
      </c>
      <c r="V188" s="8">
        <v>26</v>
      </c>
      <c r="W188" s="11">
        <f>SUM(Table78111723293541[[#This Row],[Bus ]:[Wheelchair]])</f>
        <v>49</v>
      </c>
    </row>
    <row r="189" spans="2:23" ht="19.2" x14ac:dyDescent="0.45">
      <c r="B189" s="8" t="s">
        <v>9</v>
      </c>
      <c r="C189" s="8" t="s">
        <v>28</v>
      </c>
      <c r="D189" s="8">
        <v>0</v>
      </c>
      <c r="E189" s="8">
        <v>18</v>
      </c>
      <c r="F189" s="8">
        <v>2</v>
      </c>
      <c r="G189" s="8">
        <v>1</v>
      </c>
      <c r="H189" s="8">
        <v>0</v>
      </c>
      <c r="I189" s="8">
        <v>3</v>
      </c>
      <c r="J189" s="8">
        <v>0</v>
      </c>
      <c r="K189" s="11">
        <f>SUM(Table67101622283440[[#This Row],[Bus ]:[Wheelchair]])</f>
        <v>24</v>
      </c>
      <c r="L189" s="1"/>
      <c r="M189" s="1"/>
      <c r="N189" s="8" t="s">
        <v>9</v>
      </c>
      <c r="O189" s="8" t="s">
        <v>28</v>
      </c>
      <c r="P189" s="8">
        <v>0</v>
      </c>
      <c r="Q189" s="8">
        <v>36</v>
      </c>
      <c r="R189" s="8">
        <v>18</v>
      </c>
      <c r="S189" s="8">
        <v>0</v>
      </c>
      <c r="T189" s="8">
        <v>0</v>
      </c>
      <c r="U189" s="8">
        <v>2</v>
      </c>
      <c r="V189" s="8">
        <v>0</v>
      </c>
      <c r="W189" s="11">
        <f>SUM(Table78111723293541[[#This Row],[Bus ]:[Wheelchair]])</f>
        <v>56</v>
      </c>
    </row>
    <row r="190" spans="2:23" ht="19.2" x14ac:dyDescent="0.45">
      <c r="B190" s="8" t="s">
        <v>10</v>
      </c>
      <c r="C190" s="8" t="s">
        <v>28</v>
      </c>
      <c r="D190" s="8">
        <v>0</v>
      </c>
      <c r="E190" s="8">
        <v>46</v>
      </c>
      <c r="F190" s="8">
        <v>138</v>
      </c>
      <c r="G190" s="8">
        <v>1</v>
      </c>
      <c r="H190" s="8">
        <v>0</v>
      </c>
      <c r="I190" s="8">
        <v>2</v>
      </c>
      <c r="J190" s="8">
        <v>0</v>
      </c>
      <c r="K190" s="11">
        <f>SUM(Table67101622283440[[#This Row],[Bus ]:[Wheelchair]])</f>
        <v>187</v>
      </c>
      <c r="L190" s="1"/>
      <c r="M190" s="1"/>
      <c r="N190" s="8" t="s">
        <v>10</v>
      </c>
      <c r="O190" s="8" t="s">
        <v>28</v>
      </c>
      <c r="P190" s="8">
        <v>0</v>
      </c>
      <c r="Q190" s="8">
        <v>12</v>
      </c>
      <c r="R190" s="8">
        <v>67</v>
      </c>
      <c r="S190" s="8">
        <v>0</v>
      </c>
      <c r="T190" s="8">
        <v>0</v>
      </c>
      <c r="U190" s="8">
        <v>0</v>
      </c>
      <c r="V190" s="8">
        <v>0</v>
      </c>
      <c r="W190" s="11">
        <f>SUM(Table78111723293541[[#This Row],[Bus ]:[Wheelchair]])</f>
        <v>79</v>
      </c>
    </row>
    <row r="191" spans="2:23" ht="19.2" x14ac:dyDescent="0.45">
      <c r="B191" s="8" t="s">
        <v>11</v>
      </c>
      <c r="C191" s="8" t="s">
        <v>28</v>
      </c>
      <c r="D191" s="8">
        <v>0</v>
      </c>
      <c r="E191" s="8">
        <v>16</v>
      </c>
      <c r="F191" s="8">
        <v>16</v>
      </c>
      <c r="G191" s="8">
        <v>0</v>
      </c>
      <c r="H191" s="8">
        <v>0</v>
      </c>
      <c r="I191" s="8">
        <v>5</v>
      </c>
      <c r="J191" s="8">
        <v>0</v>
      </c>
      <c r="K191" s="11">
        <f>SUM(Table67101622283440[[#This Row],[Bus ]:[Wheelchair]])</f>
        <v>37</v>
      </c>
      <c r="L191" s="1"/>
      <c r="M191" s="1"/>
      <c r="N191" s="8" t="s">
        <v>11</v>
      </c>
      <c r="O191" s="8" t="s">
        <v>28</v>
      </c>
      <c r="P191" s="8">
        <v>0</v>
      </c>
      <c r="Q191" s="8">
        <v>9</v>
      </c>
      <c r="R191" s="8">
        <v>23</v>
      </c>
      <c r="S191" s="8">
        <v>0</v>
      </c>
      <c r="T191" s="8">
        <v>0</v>
      </c>
      <c r="U191" s="8">
        <v>0</v>
      </c>
      <c r="V191" s="8">
        <v>0</v>
      </c>
      <c r="W191" s="11">
        <f>SUM(Table78111723293541[[#This Row],[Bus ]:[Wheelchair]])</f>
        <v>32</v>
      </c>
    </row>
    <row r="192" spans="2:23" ht="19.2" x14ac:dyDescent="0.45">
      <c r="B192" s="8" t="s">
        <v>12</v>
      </c>
      <c r="C192" s="8" t="s">
        <v>28</v>
      </c>
      <c r="D192" s="8">
        <v>0</v>
      </c>
      <c r="E192" s="8">
        <v>8</v>
      </c>
      <c r="F192" s="8">
        <v>8</v>
      </c>
      <c r="G192" s="8">
        <v>0</v>
      </c>
      <c r="H192" s="8">
        <v>0</v>
      </c>
      <c r="I192" s="8">
        <v>0</v>
      </c>
      <c r="J192" s="8">
        <v>1</v>
      </c>
      <c r="K192" s="11">
        <f>SUM(Table67101622283440[[#This Row],[Bus ]:[Wheelchair]])</f>
        <v>17</v>
      </c>
      <c r="L192" s="1"/>
      <c r="M192" s="1"/>
      <c r="N192" s="8" t="s">
        <v>12</v>
      </c>
      <c r="O192" s="8" t="s">
        <v>28</v>
      </c>
      <c r="P192" s="8">
        <v>0</v>
      </c>
      <c r="Q192" s="8">
        <v>13</v>
      </c>
      <c r="R192" s="8">
        <v>1</v>
      </c>
      <c r="S192" s="8">
        <v>0</v>
      </c>
      <c r="T192" s="8">
        <v>0</v>
      </c>
      <c r="U192" s="8">
        <v>0</v>
      </c>
      <c r="V192" s="8">
        <v>0</v>
      </c>
      <c r="W192" s="11">
        <f>SUM(Table78111723293541[[#This Row],[Bus ]:[Wheelchair]])</f>
        <v>14</v>
      </c>
    </row>
    <row r="193" spans="2:23" ht="19.2" x14ac:dyDescent="0.45">
      <c r="B193" s="8" t="s">
        <v>13</v>
      </c>
      <c r="C193" s="8" t="s">
        <v>28</v>
      </c>
      <c r="D193" s="8">
        <v>0</v>
      </c>
      <c r="E193" s="8">
        <v>427</v>
      </c>
      <c r="F193" s="8">
        <v>196</v>
      </c>
      <c r="G193" s="8">
        <v>6</v>
      </c>
      <c r="H193" s="8">
        <v>0</v>
      </c>
      <c r="I193" s="8">
        <v>35</v>
      </c>
      <c r="J193" s="8">
        <v>10</v>
      </c>
      <c r="K193" s="11">
        <f>SUM(Table67101622283440[[#This Row],[Bus ]:[Wheelchair]])</f>
        <v>674</v>
      </c>
      <c r="L193" s="1"/>
      <c r="M193" s="1"/>
      <c r="N193" s="8" t="s">
        <v>13</v>
      </c>
      <c r="O193" s="8" t="s">
        <v>28</v>
      </c>
      <c r="P193" s="8">
        <v>0</v>
      </c>
      <c r="Q193" s="8">
        <v>311</v>
      </c>
      <c r="R193" s="8">
        <v>329</v>
      </c>
      <c r="S193" s="8">
        <v>1</v>
      </c>
      <c r="T193" s="8">
        <v>1</v>
      </c>
      <c r="U193" s="8">
        <v>1</v>
      </c>
      <c r="V193" s="8">
        <v>12</v>
      </c>
      <c r="W193" s="11">
        <f>SUM(Table78111723293541[[#This Row],[Bus ]:[Wheelchair]])</f>
        <v>655</v>
      </c>
    </row>
    <row r="194" spans="2:23" ht="19.2" x14ac:dyDescent="0.45">
      <c r="B194" s="8" t="s">
        <v>14</v>
      </c>
      <c r="C194" s="8" t="s">
        <v>28</v>
      </c>
      <c r="D194" s="8">
        <v>0</v>
      </c>
      <c r="E194" s="8">
        <v>72</v>
      </c>
      <c r="F194" s="8">
        <v>8</v>
      </c>
      <c r="G194" s="8">
        <v>0</v>
      </c>
      <c r="H194" s="8">
        <v>0</v>
      </c>
      <c r="I194" s="8">
        <v>1</v>
      </c>
      <c r="J194" s="8">
        <v>3</v>
      </c>
      <c r="K194" s="11">
        <f>SUM(Table67101622283440[[#This Row],[Bus ]:[Wheelchair]])</f>
        <v>84</v>
      </c>
      <c r="L194" s="1"/>
      <c r="M194" s="1"/>
      <c r="N194" s="8" t="s">
        <v>14</v>
      </c>
      <c r="O194" s="8" t="s">
        <v>28</v>
      </c>
      <c r="P194" s="8">
        <v>0</v>
      </c>
      <c r="Q194" s="8">
        <v>93</v>
      </c>
      <c r="R194" s="8">
        <v>16</v>
      </c>
      <c r="S194" s="8">
        <v>0</v>
      </c>
      <c r="T194" s="8">
        <v>0</v>
      </c>
      <c r="U194" s="8">
        <v>0</v>
      </c>
      <c r="V194" s="8">
        <v>2</v>
      </c>
      <c r="W194" s="11">
        <f>SUM(Table78111723293541[[#This Row],[Bus ]:[Wheelchair]])</f>
        <v>111</v>
      </c>
    </row>
    <row r="195" spans="2:23" ht="19.2" x14ac:dyDescent="0.45">
      <c r="B195" s="8" t="s">
        <v>15</v>
      </c>
      <c r="C195" s="8" t="s">
        <v>28</v>
      </c>
      <c r="D195" s="8">
        <v>8</v>
      </c>
      <c r="E195" s="8">
        <v>2502</v>
      </c>
      <c r="F195" s="8">
        <v>370</v>
      </c>
      <c r="G195" s="8">
        <v>5</v>
      </c>
      <c r="H195" s="8">
        <v>0</v>
      </c>
      <c r="I195" s="8">
        <v>197</v>
      </c>
      <c r="J195" s="8">
        <v>83</v>
      </c>
      <c r="K195" s="11">
        <f>SUM(Table67101622283440[[#This Row],[Bus ]:[Wheelchair]])</f>
        <v>3165</v>
      </c>
      <c r="L195" s="1"/>
      <c r="M195" s="1"/>
      <c r="N195" s="8" t="s">
        <v>15</v>
      </c>
      <c r="O195" s="8" t="s">
        <v>28</v>
      </c>
      <c r="P195" s="8">
        <v>132</v>
      </c>
      <c r="Q195" s="8">
        <v>640</v>
      </c>
      <c r="R195" s="8">
        <v>379</v>
      </c>
      <c r="S195" s="8">
        <v>9</v>
      </c>
      <c r="T195" s="8">
        <v>5</v>
      </c>
      <c r="U195" s="8">
        <v>22</v>
      </c>
      <c r="V195" s="8">
        <v>46</v>
      </c>
      <c r="W195" s="11">
        <f>SUM(Table78111723293541[[#This Row],[Bus ]:[Wheelchair]])</f>
        <v>1233</v>
      </c>
    </row>
    <row r="196" spans="2:23" ht="19.2" x14ac:dyDescent="0.45">
      <c r="B196" s="8" t="s">
        <v>16</v>
      </c>
      <c r="C196" s="8" t="s">
        <v>28</v>
      </c>
      <c r="D196" s="8">
        <v>0</v>
      </c>
      <c r="E196" s="8">
        <v>20</v>
      </c>
      <c r="F196" s="8">
        <v>72</v>
      </c>
      <c r="G196" s="8">
        <v>0</v>
      </c>
      <c r="H196" s="8">
        <v>0</v>
      </c>
      <c r="I196" s="8">
        <v>0</v>
      </c>
      <c r="J196" s="8">
        <v>0</v>
      </c>
      <c r="K196" s="11">
        <f>SUM(Table67101622283440[[#This Row],[Bus ]:[Wheelchair]])</f>
        <v>92</v>
      </c>
      <c r="L196" s="1"/>
      <c r="M196" s="1"/>
      <c r="N196" s="8" t="s">
        <v>16</v>
      </c>
      <c r="O196" s="8" t="s">
        <v>28</v>
      </c>
      <c r="P196" s="8">
        <v>0</v>
      </c>
      <c r="Q196" s="8">
        <v>30</v>
      </c>
      <c r="R196" s="8">
        <v>71</v>
      </c>
      <c r="S196" s="8">
        <v>0</v>
      </c>
      <c r="T196" s="8">
        <v>0</v>
      </c>
      <c r="U196" s="8">
        <v>0</v>
      </c>
      <c r="V196" s="8">
        <v>2</v>
      </c>
      <c r="W196" s="11">
        <f>SUM(Table78111723293541[[#This Row],[Bus ]:[Wheelchair]])</f>
        <v>103</v>
      </c>
    </row>
    <row r="197" spans="2:23" ht="19.2" x14ac:dyDescent="0.45">
      <c r="B197" s="8" t="s">
        <v>21</v>
      </c>
      <c r="C197" s="8" t="s">
        <v>28</v>
      </c>
      <c r="D197" s="8">
        <v>0</v>
      </c>
      <c r="E197" s="8">
        <v>0</v>
      </c>
      <c r="F197" s="8">
        <v>1</v>
      </c>
      <c r="G197" s="8">
        <v>0</v>
      </c>
      <c r="H197" s="8">
        <v>0</v>
      </c>
      <c r="I197" s="8">
        <v>0</v>
      </c>
      <c r="J197" s="8">
        <v>0</v>
      </c>
      <c r="K197" s="11">
        <f>SUM(Table67101622283440[[#This Row],[Bus ]:[Wheelchair]])</f>
        <v>1</v>
      </c>
      <c r="L197" s="1"/>
      <c r="M197" s="1"/>
      <c r="N197" s="8" t="s">
        <v>17</v>
      </c>
      <c r="O197" s="8" t="s">
        <v>28</v>
      </c>
      <c r="P197" s="8">
        <v>0</v>
      </c>
      <c r="Q197" s="8">
        <v>15</v>
      </c>
      <c r="R197" s="8">
        <v>31</v>
      </c>
      <c r="S197" s="8">
        <v>1</v>
      </c>
      <c r="T197" s="8">
        <v>0</v>
      </c>
      <c r="U197" s="8">
        <v>0</v>
      </c>
      <c r="V197" s="8">
        <v>0</v>
      </c>
      <c r="W197" s="11">
        <f>SUM(Table78111723293541[[#This Row],[Bus ]:[Wheelchair]])</f>
        <v>47</v>
      </c>
    </row>
    <row r="198" spans="2:23" ht="19.2" x14ac:dyDescent="0.45">
      <c r="B198" s="8" t="s">
        <v>17</v>
      </c>
      <c r="C198" s="8" t="s">
        <v>28</v>
      </c>
      <c r="D198" s="8">
        <v>0</v>
      </c>
      <c r="E198" s="8">
        <v>19</v>
      </c>
      <c r="F198" s="8">
        <v>26</v>
      </c>
      <c r="G198" s="8">
        <v>0</v>
      </c>
      <c r="H198" s="8">
        <v>5</v>
      </c>
      <c r="I198" s="8">
        <v>0</v>
      </c>
      <c r="J198" s="8">
        <v>0</v>
      </c>
      <c r="K198" s="11">
        <f>SUM(Table67101622283440[[#This Row],[Bus ]:[Wheelchair]])</f>
        <v>50</v>
      </c>
      <c r="L198" s="1"/>
      <c r="M198" s="1"/>
      <c r="N198" s="8" t="s">
        <v>18</v>
      </c>
      <c r="O198" s="8" t="s">
        <v>29</v>
      </c>
      <c r="P198" s="8">
        <v>64310</v>
      </c>
      <c r="Q198" s="8">
        <v>14571</v>
      </c>
      <c r="R198" s="8">
        <v>5635</v>
      </c>
      <c r="S198" s="8">
        <v>57435</v>
      </c>
      <c r="T198" s="8">
        <v>622</v>
      </c>
      <c r="U198" s="8">
        <v>762</v>
      </c>
      <c r="V198" s="8">
        <v>1839</v>
      </c>
      <c r="W198" s="11">
        <f>SUM(Table78111723293541[[#This Row],[Bus ]:[Wheelchair]])</f>
        <v>145174</v>
      </c>
    </row>
    <row r="199" spans="2:23" ht="19.2" x14ac:dyDescent="0.45">
      <c r="B199" s="8" t="s">
        <v>18</v>
      </c>
      <c r="C199" s="8" t="s">
        <v>29</v>
      </c>
      <c r="D199" s="8">
        <v>42699</v>
      </c>
      <c r="E199" s="8">
        <v>14622</v>
      </c>
      <c r="F199" s="8">
        <v>6987</v>
      </c>
      <c r="G199" s="8">
        <v>49644</v>
      </c>
      <c r="H199" s="8">
        <v>783</v>
      </c>
      <c r="I199" s="8">
        <v>2490</v>
      </c>
      <c r="J199" s="8">
        <v>1479</v>
      </c>
      <c r="K199" s="11">
        <f>SUM(Table67101622283440[[#This Row],[Bus ]:[Wheelchair]])</f>
        <v>118704</v>
      </c>
      <c r="L199" s="1"/>
      <c r="M199" s="1"/>
      <c r="N199" s="8" t="s">
        <v>19</v>
      </c>
      <c r="O199" s="8" t="s">
        <v>29</v>
      </c>
      <c r="P199" s="8">
        <v>881</v>
      </c>
      <c r="Q199" s="8">
        <v>4616</v>
      </c>
      <c r="R199" s="8">
        <v>932</v>
      </c>
      <c r="S199" s="8">
        <v>3470</v>
      </c>
      <c r="T199" s="8">
        <v>112</v>
      </c>
      <c r="U199" s="8">
        <v>43</v>
      </c>
      <c r="V199" s="8">
        <v>330</v>
      </c>
      <c r="W199" s="1">
        <f>SUM(Table78111723293541[[#This Row],[Bus ]:[Wheelchair]])</f>
        <v>10384</v>
      </c>
    </row>
    <row r="200" spans="2:23" ht="19.2" x14ac:dyDescent="0.45">
      <c r="B200" s="8" t="s">
        <v>19</v>
      </c>
      <c r="C200" s="8" t="s">
        <v>29</v>
      </c>
      <c r="D200" s="8">
        <v>701</v>
      </c>
      <c r="E200" s="8">
        <v>4693</v>
      </c>
      <c r="F200" s="8">
        <v>1219</v>
      </c>
      <c r="G200" s="8">
        <v>3970</v>
      </c>
      <c r="H200" s="8">
        <v>88</v>
      </c>
      <c r="I200" s="8">
        <v>200</v>
      </c>
      <c r="J200" s="8">
        <v>488</v>
      </c>
      <c r="K200" s="1">
        <f>SUM(Table67101622283440[[#This Row],[Bus ]:[Wheelchair]])</f>
        <v>11359</v>
      </c>
      <c r="L200" s="1"/>
      <c r="M200" s="1"/>
      <c r="N200" s="20" t="s">
        <v>20</v>
      </c>
      <c r="O200" s="20"/>
      <c r="P200" s="20">
        <f>SUBTOTAL(109,Table78111723293541[[Bus ]])</f>
        <v>65397</v>
      </c>
      <c r="Q200" s="20">
        <f>SUBTOTAL(109,Table78111723293541[Cab])</f>
        <v>22046</v>
      </c>
      <c r="R200" s="20">
        <f>SUBTOTAL(109,Table78111723293541[GMR])</f>
        <v>8205</v>
      </c>
      <c r="S200" s="20">
        <f>SUBTOTAL(109,Table78111723293541[Public Entity])</f>
        <v>62616</v>
      </c>
      <c r="T200" s="20">
        <f>SUBTOTAL(109,Table78111723293541[Stretcher])</f>
        <v>749</v>
      </c>
      <c r="U200" s="20">
        <f>SUBTOTAL(109,Table78111723293541[TNC Vendor])</f>
        <v>848</v>
      </c>
      <c r="V200" s="20">
        <f>SUBTOTAL(109,Table78111723293541[Wheelchair])</f>
        <v>2399</v>
      </c>
      <c r="W200" s="20">
        <f>SUBTOTAL(109,Table78111723293541[Total])</f>
        <v>162260</v>
      </c>
    </row>
    <row r="201" spans="2:23" ht="19.2" x14ac:dyDescent="0.45">
      <c r="B201" s="19" t="s">
        <v>20</v>
      </c>
      <c r="C201" s="19"/>
      <c r="D201" s="19">
        <f>SUBTOTAL(109,Table67101622283440[[Bus ]])</f>
        <v>43431</v>
      </c>
      <c r="E201" s="19">
        <f>SUBTOTAL(109,Table67101622283440[Cab])</f>
        <v>24261</v>
      </c>
      <c r="F201" s="19">
        <f>SUBTOTAL(109,Table67101622283440[GMR])</f>
        <v>9771</v>
      </c>
      <c r="G201" s="19">
        <f>SUBTOTAL(109,Table67101622283440[Public Entity])</f>
        <v>55242</v>
      </c>
      <c r="H201" s="19">
        <f>SUBTOTAL(109,Table67101622283440[Stretcher])</f>
        <v>876</v>
      </c>
      <c r="I201" s="19">
        <f>SUBTOTAL(109,Table67101622283440[TNC Vendor])</f>
        <v>3023</v>
      </c>
      <c r="J201" s="19">
        <f>SUBTOTAL(109,Table67101622283440[Wheelchair])</f>
        <v>2168</v>
      </c>
      <c r="K201" s="19">
        <f>SUBTOTAL(109,Table67101622283440[Total])</f>
        <v>138772</v>
      </c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2:23" ht="19.2" x14ac:dyDescent="0.4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2:23" ht="19.2" x14ac:dyDescent="0.4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2:23" ht="19.2" x14ac:dyDescent="0.45">
      <c r="B204" s="34">
        <v>45536</v>
      </c>
      <c r="C204" s="34"/>
      <c r="D204" s="34"/>
      <c r="E204" s="35" t="s">
        <v>22</v>
      </c>
      <c r="F204" s="35"/>
      <c r="G204" s="35"/>
      <c r="H204" s="35"/>
      <c r="I204" s="35"/>
      <c r="J204" s="35"/>
      <c r="K204" s="35"/>
      <c r="L204" s="1"/>
      <c r="M204" s="1"/>
      <c r="N204" s="36">
        <v>45901</v>
      </c>
      <c r="O204" s="36"/>
      <c r="P204" s="36"/>
      <c r="Q204" s="37" t="s">
        <v>22</v>
      </c>
      <c r="R204" s="37"/>
      <c r="S204" s="37"/>
      <c r="T204" s="37"/>
      <c r="U204" s="37"/>
      <c r="V204" s="37"/>
      <c r="W204" s="37"/>
    </row>
    <row r="205" spans="2:23" ht="19.2" x14ac:dyDescent="0.45">
      <c r="B205" s="34"/>
      <c r="C205" s="34"/>
      <c r="D205" s="34"/>
      <c r="E205" s="35"/>
      <c r="F205" s="35"/>
      <c r="G205" s="35"/>
      <c r="H205" s="35"/>
      <c r="I205" s="35"/>
      <c r="J205" s="35"/>
      <c r="K205" s="35"/>
      <c r="L205" s="1"/>
      <c r="M205" s="1"/>
      <c r="N205" s="36"/>
      <c r="O205" s="36"/>
      <c r="P205" s="36"/>
      <c r="Q205" s="37"/>
      <c r="R205" s="37"/>
      <c r="S205" s="37"/>
      <c r="T205" s="37"/>
      <c r="U205" s="37"/>
      <c r="V205" s="37"/>
      <c r="W205" s="37"/>
    </row>
    <row r="206" spans="2:23" s="26" customFormat="1" ht="20.399999999999999" x14ac:dyDescent="0.45">
      <c r="B206" s="13" t="s">
        <v>23</v>
      </c>
      <c r="C206" s="13" t="s">
        <v>24</v>
      </c>
      <c r="D206" s="13" t="s">
        <v>25</v>
      </c>
      <c r="E206" s="13" t="s">
        <v>0</v>
      </c>
      <c r="F206" s="13" t="s">
        <v>26</v>
      </c>
      <c r="G206" s="13" t="s">
        <v>27</v>
      </c>
      <c r="H206" s="13" t="s">
        <v>1</v>
      </c>
      <c r="I206" s="13" t="s">
        <v>2</v>
      </c>
      <c r="J206" s="13" t="s">
        <v>3</v>
      </c>
      <c r="K206" s="13" t="s">
        <v>20</v>
      </c>
      <c r="L206" s="24"/>
      <c r="M206" s="24"/>
      <c r="N206" s="13" t="s">
        <v>23</v>
      </c>
      <c r="O206" s="13" t="s">
        <v>24</v>
      </c>
      <c r="P206" s="13" t="s">
        <v>25</v>
      </c>
      <c r="Q206" s="13" t="s">
        <v>0</v>
      </c>
      <c r="R206" s="13" t="s">
        <v>26</v>
      </c>
      <c r="S206" s="13" t="s">
        <v>27</v>
      </c>
      <c r="T206" s="13" t="s">
        <v>1</v>
      </c>
      <c r="U206" s="13" t="s">
        <v>2</v>
      </c>
      <c r="V206" s="13" t="s">
        <v>3</v>
      </c>
      <c r="W206" s="13" t="s">
        <v>20</v>
      </c>
    </row>
    <row r="207" spans="2:23" ht="19.2" x14ac:dyDescent="0.45">
      <c r="B207" s="8" t="s">
        <v>4</v>
      </c>
      <c r="C207" s="8" t="s">
        <v>28</v>
      </c>
      <c r="D207" s="8">
        <v>42</v>
      </c>
      <c r="E207" s="8">
        <v>871</v>
      </c>
      <c r="F207" s="8">
        <v>162</v>
      </c>
      <c r="G207" s="8">
        <v>417</v>
      </c>
      <c r="H207" s="8">
        <v>0</v>
      </c>
      <c r="I207" s="8">
        <v>30</v>
      </c>
      <c r="J207" s="8">
        <v>51</v>
      </c>
      <c r="K207" s="11">
        <f>SUM(Table6710162228344043[[#This Row],[Bus ]:[Wheelchair]])</f>
        <v>1573</v>
      </c>
      <c r="L207" s="1"/>
      <c r="M207" s="1"/>
      <c r="N207" s="8" t="s">
        <v>4</v>
      </c>
      <c r="O207" s="8" t="s">
        <v>28</v>
      </c>
      <c r="P207" s="8">
        <v>79</v>
      </c>
      <c r="Q207" s="8">
        <v>726</v>
      </c>
      <c r="R207" s="8">
        <v>193</v>
      </c>
      <c r="S207" s="8">
        <v>716</v>
      </c>
      <c r="T207" s="8">
        <v>2</v>
      </c>
      <c r="U207" s="8">
        <v>6</v>
      </c>
      <c r="V207" s="8">
        <v>106</v>
      </c>
      <c r="W207" s="11">
        <f>SUM(Table7811172329354144[[#This Row],[Bus ]:[Wheelchair]])</f>
        <v>1828</v>
      </c>
    </row>
    <row r="208" spans="2:23" ht="19.2" x14ac:dyDescent="0.45">
      <c r="B208" s="8" t="s">
        <v>5</v>
      </c>
      <c r="C208" s="8" t="s">
        <v>28</v>
      </c>
      <c r="D208" s="8">
        <v>0</v>
      </c>
      <c r="E208" s="8">
        <v>319</v>
      </c>
      <c r="F208" s="8">
        <v>178</v>
      </c>
      <c r="G208" s="8">
        <v>2</v>
      </c>
      <c r="H208" s="8">
        <v>0</v>
      </c>
      <c r="I208" s="8">
        <v>22</v>
      </c>
      <c r="J208" s="8">
        <v>1</v>
      </c>
      <c r="K208" s="11">
        <f>SUM(Table6710162228344043[[#This Row],[Bus ]:[Wheelchair]])</f>
        <v>522</v>
      </c>
      <c r="L208" s="1"/>
      <c r="M208" s="1"/>
      <c r="N208" s="8" t="s">
        <v>5</v>
      </c>
      <c r="O208" s="8" t="s">
        <v>28</v>
      </c>
      <c r="P208" s="8">
        <v>2</v>
      </c>
      <c r="Q208" s="8">
        <v>374</v>
      </c>
      <c r="R208" s="8">
        <v>182</v>
      </c>
      <c r="S208" s="8">
        <v>0</v>
      </c>
      <c r="T208" s="8">
        <v>0</v>
      </c>
      <c r="U208" s="8">
        <v>5</v>
      </c>
      <c r="V208" s="8">
        <v>19</v>
      </c>
      <c r="W208" s="11">
        <f>SUM(Table7811172329354144[[#This Row],[Bus ]:[Wheelchair]])</f>
        <v>582</v>
      </c>
    </row>
    <row r="209" spans="2:23" ht="19.2" x14ac:dyDescent="0.45">
      <c r="B209" s="8" t="s">
        <v>6</v>
      </c>
      <c r="C209" s="8" t="s">
        <v>28</v>
      </c>
      <c r="D209" s="8">
        <v>0</v>
      </c>
      <c r="E209" s="8">
        <v>253</v>
      </c>
      <c r="F209" s="8">
        <v>100</v>
      </c>
      <c r="G209" s="8">
        <v>0</v>
      </c>
      <c r="H209" s="8">
        <v>0</v>
      </c>
      <c r="I209" s="8">
        <v>2</v>
      </c>
      <c r="J209" s="8">
        <v>6</v>
      </c>
      <c r="K209" s="11">
        <f>SUM(Table6710162228344043[[#This Row],[Bus ]:[Wheelchair]])</f>
        <v>361</v>
      </c>
      <c r="L209" s="1"/>
      <c r="M209" s="1"/>
      <c r="N209" s="8" t="s">
        <v>6</v>
      </c>
      <c r="O209" s="8" t="s">
        <v>28</v>
      </c>
      <c r="P209" s="8">
        <v>2</v>
      </c>
      <c r="Q209" s="8">
        <v>352</v>
      </c>
      <c r="R209" s="8">
        <v>130</v>
      </c>
      <c r="S209" s="8">
        <v>5</v>
      </c>
      <c r="T209" s="8">
        <v>0</v>
      </c>
      <c r="U209" s="8">
        <v>0</v>
      </c>
      <c r="V209" s="8">
        <v>7</v>
      </c>
      <c r="W209" s="11">
        <f>SUM(Table7811172329354144[[#This Row],[Bus ]:[Wheelchair]])</f>
        <v>496</v>
      </c>
    </row>
    <row r="210" spans="2:23" ht="19.2" x14ac:dyDescent="0.45">
      <c r="B210" s="8" t="s">
        <v>7</v>
      </c>
      <c r="C210" s="8" t="s">
        <v>28</v>
      </c>
      <c r="D210" s="8">
        <v>0</v>
      </c>
      <c r="E210" s="8">
        <v>231</v>
      </c>
      <c r="F210" s="8">
        <v>147</v>
      </c>
      <c r="G210" s="8">
        <v>891</v>
      </c>
      <c r="H210" s="8">
        <v>0</v>
      </c>
      <c r="I210" s="8">
        <v>2</v>
      </c>
      <c r="J210" s="8">
        <v>4</v>
      </c>
      <c r="K210" s="11">
        <f>SUM(Table6710162228344043[[#This Row],[Bus ]:[Wheelchair]])</f>
        <v>1275</v>
      </c>
      <c r="L210" s="1"/>
      <c r="M210" s="1"/>
      <c r="N210" s="8" t="s">
        <v>7</v>
      </c>
      <c r="O210" s="8" t="s">
        <v>28</v>
      </c>
      <c r="P210" s="8">
        <v>0</v>
      </c>
      <c r="Q210" s="8">
        <v>105</v>
      </c>
      <c r="R210" s="8">
        <v>127</v>
      </c>
      <c r="S210" s="8">
        <v>1068</v>
      </c>
      <c r="T210" s="8">
        <v>0</v>
      </c>
      <c r="U210" s="8">
        <v>3</v>
      </c>
      <c r="V210" s="8">
        <v>0</v>
      </c>
      <c r="W210" s="11">
        <f>SUM(Table7811172329354144[[#This Row],[Bus ]:[Wheelchair]])</f>
        <v>1303</v>
      </c>
    </row>
    <row r="211" spans="2:23" ht="19.2" x14ac:dyDescent="0.45">
      <c r="B211" s="8" t="s">
        <v>8</v>
      </c>
      <c r="C211" s="8" t="s">
        <v>28</v>
      </c>
      <c r="D211" s="8">
        <v>0</v>
      </c>
      <c r="E211" s="8">
        <v>17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11">
        <f>SUM(Table6710162228344043[[#This Row],[Bus ]:[Wheelchair]])</f>
        <v>17</v>
      </c>
      <c r="L211" s="1"/>
      <c r="M211" s="1"/>
      <c r="N211" s="8" t="s">
        <v>8</v>
      </c>
      <c r="O211" s="8" t="s">
        <v>28</v>
      </c>
      <c r="P211" s="8">
        <v>0</v>
      </c>
      <c r="Q211" s="8">
        <v>12</v>
      </c>
      <c r="R211" s="8">
        <v>0</v>
      </c>
      <c r="S211" s="8">
        <v>0</v>
      </c>
      <c r="T211" s="8">
        <v>0</v>
      </c>
      <c r="U211" s="8">
        <v>0</v>
      </c>
      <c r="V211" s="8">
        <v>12</v>
      </c>
      <c r="W211" s="11">
        <f>SUM(Table7811172329354144[[#This Row],[Bus ]:[Wheelchair]])</f>
        <v>24</v>
      </c>
    </row>
    <row r="212" spans="2:23" ht="19.2" x14ac:dyDescent="0.45">
      <c r="B212" s="8" t="s">
        <v>9</v>
      </c>
      <c r="C212" s="8" t="s">
        <v>28</v>
      </c>
      <c r="D212" s="8">
        <v>0</v>
      </c>
      <c r="E212" s="8">
        <v>8</v>
      </c>
      <c r="F212" s="8">
        <v>2</v>
      </c>
      <c r="G212" s="8">
        <v>0</v>
      </c>
      <c r="H212" s="8">
        <v>0</v>
      </c>
      <c r="I212" s="8">
        <v>0</v>
      </c>
      <c r="J212" s="8">
        <v>0</v>
      </c>
      <c r="K212" s="11">
        <f>SUM(Table6710162228344043[[#This Row],[Bus ]:[Wheelchair]])</f>
        <v>10</v>
      </c>
      <c r="L212" s="1"/>
      <c r="M212" s="1"/>
      <c r="N212" s="8" t="s">
        <v>9</v>
      </c>
      <c r="O212" s="8" t="s">
        <v>28</v>
      </c>
      <c r="P212" s="8">
        <v>0</v>
      </c>
      <c r="Q212" s="8">
        <v>18</v>
      </c>
      <c r="R212" s="8">
        <v>10</v>
      </c>
      <c r="S212" s="8">
        <v>1</v>
      </c>
      <c r="T212" s="8">
        <v>0</v>
      </c>
      <c r="U212" s="8">
        <v>1</v>
      </c>
      <c r="V212" s="8">
        <v>0</v>
      </c>
      <c r="W212" s="11">
        <f>SUM(Table7811172329354144[[#This Row],[Bus ]:[Wheelchair]])</f>
        <v>30</v>
      </c>
    </row>
    <row r="213" spans="2:23" ht="19.2" x14ac:dyDescent="0.45">
      <c r="B213" s="8" t="s">
        <v>10</v>
      </c>
      <c r="C213" s="8" t="s">
        <v>28</v>
      </c>
      <c r="D213" s="8">
        <v>0</v>
      </c>
      <c r="E213" s="8">
        <v>42</v>
      </c>
      <c r="F213" s="8">
        <v>124</v>
      </c>
      <c r="G213" s="8">
        <v>0</v>
      </c>
      <c r="H213" s="8">
        <v>0</v>
      </c>
      <c r="I213" s="8">
        <v>2</v>
      </c>
      <c r="J213" s="8">
        <v>0</v>
      </c>
      <c r="K213" s="11">
        <f>SUM(Table6710162228344043[[#This Row],[Bus ]:[Wheelchair]])</f>
        <v>168</v>
      </c>
      <c r="L213" s="1"/>
      <c r="M213" s="1"/>
      <c r="N213" s="8" t="s">
        <v>10</v>
      </c>
      <c r="O213" s="8" t="s">
        <v>28</v>
      </c>
      <c r="P213" s="8">
        <v>0</v>
      </c>
      <c r="Q213" s="8">
        <v>12</v>
      </c>
      <c r="R213" s="8">
        <v>136</v>
      </c>
      <c r="S213" s="8">
        <v>2</v>
      </c>
      <c r="T213" s="8">
        <v>0</v>
      </c>
      <c r="U213" s="8">
        <v>0</v>
      </c>
      <c r="V213" s="8">
        <v>0</v>
      </c>
      <c r="W213" s="11">
        <f>SUM(Table7811172329354144[[#This Row],[Bus ]:[Wheelchair]])</f>
        <v>150</v>
      </c>
    </row>
    <row r="214" spans="2:23" ht="19.2" x14ac:dyDescent="0.45">
      <c r="B214" s="8" t="s">
        <v>11</v>
      </c>
      <c r="C214" s="8" t="s">
        <v>28</v>
      </c>
      <c r="D214" s="8">
        <v>0</v>
      </c>
      <c r="E214" s="8">
        <v>17</v>
      </c>
      <c r="F214" s="8">
        <v>15</v>
      </c>
      <c r="G214" s="8">
        <v>0</v>
      </c>
      <c r="H214" s="8">
        <v>0</v>
      </c>
      <c r="I214" s="8">
        <v>0</v>
      </c>
      <c r="J214" s="8">
        <v>0</v>
      </c>
      <c r="K214" s="11">
        <f>SUM(Table6710162228344043[[#This Row],[Bus ]:[Wheelchair]])</f>
        <v>32</v>
      </c>
      <c r="L214" s="1"/>
      <c r="M214" s="1"/>
      <c r="N214" s="8" t="s">
        <v>11</v>
      </c>
      <c r="O214" s="8" t="s">
        <v>28</v>
      </c>
      <c r="P214" s="8">
        <v>0</v>
      </c>
      <c r="Q214" s="8">
        <v>2</v>
      </c>
      <c r="R214" s="8">
        <v>15</v>
      </c>
      <c r="S214" s="8">
        <v>0</v>
      </c>
      <c r="T214" s="8">
        <v>0</v>
      </c>
      <c r="U214" s="8">
        <v>0</v>
      </c>
      <c r="V214" s="8">
        <v>0</v>
      </c>
      <c r="W214" s="11">
        <f>SUM(Table7811172329354144[[#This Row],[Bus ]:[Wheelchair]])</f>
        <v>17</v>
      </c>
    </row>
    <row r="215" spans="2:23" ht="19.2" x14ac:dyDescent="0.45">
      <c r="B215" s="8" t="s">
        <v>12</v>
      </c>
      <c r="C215" s="8" t="s">
        <v>28</v>
      </c>
      <c r="D215" s="8">
        <v>5</v>
      </c>
      <c r="E215" s="8">
        <v>2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11">
        <f>SUM(Table6710162228344043[[#This Row],[Bus ]:[Wheelchair]])</f>
        <v>7</v>
      </c>
      <c r="L215" s="1"/>
      <c r="M215" s="1"/>
      <c r="N215" s="8" t="s">
        <v>12</v>
      </c>
      <c r="O215" s="8" t="s">
        <v>28</v>
      </c>
      <c r="P215" s="8">
        <v>0</v>
      </c>
      <c r="Q215" s="8">
        <v>4</v>
      </c>
      <c r="R215" s="8">
        <v>1</v>
      </c>
      <c r="S215" s="8">
        <v>0</v>
      </c>
      <c r="T215" s="8">
        <v>0</v>
      </c>
      <c r="U215" s="8">
        <v>0</v>
      </c>
      <c r="V215" s="8">
        <v>0</v>
      </c>
      <c r="W215" s="11">
        <f>SUM(Table7811172329354144[[#This Row],[Bus ]:[Wheelchair]])</f>
        <v>5</v>
      </c>
    </row>
    <row r="216" spans="2:23" ht="19.2" x14ac:dyDescent="0.45">
      <c r="B216" s="8" t="s">
        <v>13</v>
      </c>
      <c r="C216" s="8" t="s">
        <v>28</v>
      </c>
      <c r="D216" s="8">
        <v>0</v>
      </c>
      <c r="E216" s="8">
        <v>406</v>
      </c>
      <c r="F216" s="8">
        <v>200</v>
      </c>
      <c r="G216" s="8">
        <v>1</v>
      </c>
      <c r="H216" s="8">
        <v>0</v>
      </c>
      <c r="I216" s="8">
        <v>13</v>
      </c>
      <c r="J216" s="8">
        <v>26</v>
      </c>
      <c r="K216" s="11">
        <f>SUM(Table6710162228344043[[#This Row],[Bus ]:[Wheelchair]])</f>
        <v>646</v>
      </c>
      <c r="L216" s="1"/>
      <c r="M216" s="1"/>
      <c r="N216" s="8" t="s">
        <v>13</v>
      </c>
      <c r="O216" s="8" t="s">
        <v>28</v>
      </c>
      <c r="P216" s="8">
        <v>0</v>
      </c>
      <c r="Q216" s="8">
        <v>361</v>
      </c>
      <c r="R216" s="8">
        <v>272</v>
      </c>
      <c r="S216" s="8">
        <v>0</v>
      </c>
      <c r="T216" s="8">
        <v>0</v>
      </c>
      <c r="U216" s="8">
        <v>4</v>
      </c>
      <c r="V216" s="8">
        <v>11</v>
      </c>
      <c r="W216" s="11">
        <f>SUM(Table7811172329354144[[#This Row],[Bus ]:[Wheelchair]])</f>
        <v>648</v>
      </c>
    </row>
    <row r="217" spans="2:23" ht="19.2" x14ac:dyDescent="0.45">
      <c r="B217" s="8" t="s">
        <v>14</v>
      </c>
      <c r="C217" s="8" t="s">
        <v>28</v>
      </c>
      <c r="D217" s="8">
        <v>0</v>
      </c>
      <c r="E217" s="8">
        <v>30</v>
      </c>
      <c r="F217" s="8">
        <v>7</v>
      </c>
      <c r="G217" s="8">
        <v>0</v>
      </c>
      <c r="H217" s="8">
        <v>0</v>
      </c>
      <c r="I217" s="8">
        <v>0</v>
      </c>
      <c r="J217" s="8">
        <v>3</v>
      </c>
      <c r="K217" s="11">
        <f>SUM(Table6710162228344043[[#This Row],[Bus ]:[Wheelchair]])</f>
        <v>40</v>
      </c>
      <c r="L217" s="1"/>
      <c r="M217" s="1"/>
      <c r="N217" s="8" t="s">
        <v>14</v>
      </c>
      <c r="O217" s="8" t="s">
        <v>28</v>
      </c>
      <c r="P217" s="8">
        <v>0</v>
      </c>
      <c r="Q217" s="8">
        <v>96</v>
      </c>
      <c r="R217" s="8">
        <v>14</v>
      </c>
      <c r="S217" s="8">
        <v>0</v>
      </c>
      <c r="T217" s="8">
        <v>0</v>
      </c>
      <c r="U217" s="8">
        <v>0</v>
      </c>
      <c r="V217" s="8">
        <v>6</v>
      </c>
      <c r="W217" s="11">
        <f>SUM(Table7811172329354144[[#This Row],[Bus ]:[Wheelchair]])</f>
        <v>116</v>
      </c>
    </row>
    <row r="218" spans="2:23" ht="19.2" x14ac:dyDescent="0.45">
      <c r="B218" s="8" t="s">
        <v>15</v>
      </c>
      <c r="C218" s="8" t="s">
        <v>28</v>
      </c>
      <c r="D218" s="8">
        <v>143</v>
      </c>
      <c r="E218" s="8">
        <v>2298</v>
      </c>
      <c r="F218" s="8">
        <v>409</v>
      </c>
      <c r="G218" s="8">
        <v>13</v>
      </c>
      <c r="H218" s="8">
        <v>0</v>
      </c>
      <c r="I218" s="8">
        <v>75</v>
      </c>
      <c r="J218" s="8">
        <v>74</v>
      </c>
      <c r="K218" s="11">
        <f>SUM(Table6710162228344043[[#This Row],[Bus ]:[Wheelchair]])</f>
        <v>3012</v>
      </c>
      <c r="L218" s="1"/>
      <c r="M218" s="1"/>
      <c r="N218" s="8" t="s">
        <v>15</v>
      </c>
      <c r="O218" s="8" t="s">
        <v>28</v>
      </c>
      <c r="P218" s="8">
        <v>152</v>
      </c>
      <c r="Q218" s="8">
        <v>588</v>
      </c>
      <c r="R218" s="8">
        <v>360</v>
      </c>
      <c r="S218" s="8">
        <v>4</v>
      </c>
      <c r="T218" s="8">
        <v>0</v>
      </c>
      <c r="U218" s="8">
        <v>15</v>
      </c>
      <c r="V218" s="8">
        <v>88</v>
      </c>
      <c r="W218" s="11">
        <f>SUM(Table7811172329354144[[#This Row],[Bus ]:[Wheelchair]])</f>
        <v>1207</v>
      </c>
    </row>
    <row r="219" spans="2:23" ht="19.2" x14ac:dyDescent="0.45">
      <c r="B219" s="8" t="s">
        <v>16</v>
      </c>
      <c r="C219" s="8" t="s">
        <v>28</v>
      </c>
      <c r="D219" s="8">
        <v>0</v>
      </c>
      <c r="E219" s="8">
        <v>10</v>
      </c>
      <c r="F219" s="8">
        <v>66</v>
      </c>
      <c r="G219" s="8">
        <v>0</v>
      </c>
      <c r="H219" s="8">
        <v>0</v>
      </c>
      <c r="I219" s="8">
        <v>1</v>
      </c>
      <c r="J219" s="8">
        <v>0</v>
      </c>
      <c r="K219" s="11">
        <f>SUM(Table6710162228344043[[#This Row],[Bus ]:[Wheelchair]])</f>
        <v>77</v>
      </c>
      <c r="L219" s="1"/>
      <c r="M219" s="1"/>
      <c r="N219" s="8" t="s">
        <v>16</v>
      </c>
      <c r="O219" s="8" t="s">
        <v>28</v>
      </c>
      <c r="P219" s="8">
        <v>0</v>
      </c>
      <c r="Q219" s="8">
        <v>21</v>
      </c>
      <c r="R219" s="8">
        <v>56</v>
      </c>
      <c r="S219" s="8">
        <v>0</v>
      </c>
      <c r="T219" s="8">
        <v>0</v>
      </c>
      <c r="U219" s="8">
        <v>0</v>
      </c>
      <c r="V219" s="8">
        <v>0</v>
      </c>
      <c r="W219" s="11">
        <f>SUM(Table7811172329354144[[#This Row],[Bus ]:[Wheelchair]])</f>
        <v>77</v>
      </c>
    </row>
    <row r="220" spans="2:23" ht="19.2" x14ac:dyDescent="0.45">
      <c r="B220" s="8" t="s">
        <v>21</v>
      </c>
      <c r="C220" s="8" t="s">
        <v>28</v>
      </c>
      <c r="D220" s="8">
        <v>0</v>
      </c>
      <c r="E220" s="8">
        <v>1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11">
        <f>SUM(Table6710162228344043[[#This Row],[Bus ]:[Wheelchair]])</f>
        <v>1</v>
      </c>
      <c r="L220" s="1"/>
      <c r="M220" s="1"/>
      <c r="N220" s="8" t="s">
        <v>17</v>
      </c>
      <c r="O220" s="8" t="s">
        <v>28</v>
      </c>
      <c r="P220" s="8">
        <v>0</v>
      </c>
      <c r="Q220" s="8">
        <v>20</v>
      </c>
      <c r="R220" s="8">
        <v>29</v>
      </c>
      <c r="S220" s="8">
        <v>0</v>
      </c>
      <c r="T220" s="8">
        <v>0</v>
      </c>
      <c r="U220" s="8">
        <v>2</v>
      </c>
      <c r="V220" s="8">
        <v>0</v>
      </c>
      <c r="W220" s="11">
        <f>SUM(Table7811172329354144[[#This Row],[Bus ]:[Wheelchair]])</f>
        <v>51</v>
      </c>
    </row>
    <row r="221" spans="2:23" ht="19.2" x14ac:dyDescent="0.45">
      <c r="B221" s="8" t="s">
        <v>17</v>
      </c>
      <c r="C221" s="8" t="s">
        <v>28</v>
      </c>
      <c r="D221" s="8">
        <v>0</v>
      </c>
      <c r="E221" s="8">
        <v>9</v>
      </c>
      <c r="F221" s="8">
        <v>18</v>
      </c>
      <c r="G221" s="8">
        <v>0</v>
      </c>
      <c r="H221" s="8">
        <v>0</v>
      </c>
      <c r="I221" s="8">
        <v>0</v>
      </c>
      <c r="J221" s="8">
        <v>3</v>
      </c>
      <c r="K221" s="11">
        <f>SUM(Table6710162228344043[[#This Row],[Bus ]:[Wheelchair]])</f>
        <v>30</v>
      </c>
      <c r="L221" s="1"/>
      <c r="M221" s="1"/>
      <c r="N221" s="8" t="s">
        <v>18</v>
      </c>
      <c r="O221" s="8" t="s">
        <v>29</v>
      </c>
      <c r="P221" s="8">
        <v>62647</v>
      </c>
      <c r="Q221" s="8">
        <v>14408</v>
      </c>
      <c r="R221" s="8">
        <v>5341</v>
      </c>
      <c r="S221" s="8">
        <v>56878</v>
      </c>
      <c r="T221" s="8">
        <v>503</v>
      </c>
      <c r="U221" s="8">
        <v>653</v>
      </c>
      <c r="V221" s="8">
        <v>1660</v>
      </c>
      <c r="W221" s="11">
        <f>SUM(Table7811172329354144[[#This Row],[Bus ]:[Wheelchair]])</f>
        <v>142090</v>
      </c>
    </row>
    <row r="222" spans="2:23" ht="19.2" x14ac:dyDescent="0.45">
      <c r="B222" s="8" t="s">
        <v>18</v>
      </c>
      <c r="C222" s="8" t="s">
        <v>29</v>
      </c>
      <c r="D222" s="8">
        <v>42408</v>
      </c>
      <c r="E222" s="8">
        <v>14193</v>
      </c>
      <c r="F222" s="8">
        <v>6055</v>
      </c>
      <c r="G222" s="8">
        <v>45108</v>
      </c>
      <c r="H222" s="8">
        <v>631</v>
      </c>
      <c r="I222" s="8">
        <v>2250</v>
      </c>
      <c r="J222" s="8">
        <v>1595</v>
      </c>
      <c r="K222" s="11">
        <f>SUM(Table6710162228344043[[#This Row],[Bus ]:[Wheelchair]])</f>
        <v>112240</v>
      </c>
      <c r="L222" s="1"/>
      <c r="M222" s="1"/>
      <c r="N222" s="8" t="s">
        <v>19</v>
      </c>
      <c r="O222" s="8" t="s">
        <v>29</v>
      </c>
      <c r="P222" s="8">
        <v>887</v>
      </c>
      <c r="Q222" s="8">
        <v>4809</v>
      </c>
      <c r="R222" s="8">
        <v>938</v>
      </c>
      <c r="S222" s="8">
        <v>3491</v>
      </c>
      <c r="T222" s="8">
        <v>122</v>
      </c>
      <c r="U222" s="8">
        <v>51</v>
      </c>
      <c r="V222" s="8">
        <v>312</v>
      </c>
      <c r="W222" s="1">
        <f>SUM(Table7811172329354144[[#This Row],[Bus ]:[Wheelchair]])</f>
        <v>10610</v>
      </c>
    </row>
    <row r="223" spans="2:23" ht="19.2" x14ac:dyDescent="0.45">
      <c r="B223" s="8" t="s">
        <v>19</v>
      </c>
      <c r="C223" s="8" t="s">
        <v>29</v>
      </c>
      <c r="D223" s="8">
        <v>544</v>
      </c>
      <c r="E223" s="8">
        <v>4310</v>
      </c>
      <c r="F223" s="8">
        <v>981</v>
      </c>
      <c r="G223" s="8">
        <v>3829</v>
      </c>
      <c r="H223" s="8">
        <v>78</v>
      </c>
      <c r="I223" s="8">
        <v>175</v>
      </c>
      <c r="J223" s="8">
        <v>417</v>
      </c>
      <c r="K223" s="1">
        <f>SUM(Table6710162228344043[[#This Row],[Bus ]:[Wheelchair]])</f>
        <v>10334</v>
      </c>
      <c r="L223" s="1"/>
      <c r="M223" s="1"/>
      <c r="N223" s="20" t="s">
        <v>20</v>
      </c>
      <c r="O223" s="20"/>
      <c r="P223" s="20">
        <f>SUBTOTAL(109,Table7811172329354144[[Bus ]])</f>
        <v>63769</v>
      </c>
      <c r="Q223" s="20">
        <f>SUBTOTAL(109,Table7811172329354144[Cab])</f>
        <v>21908</v>
      </c>
      <c r="R223" s="20">
        <f>SUBTOTAL(109,Table7811172329354144[GMR])</f>
        <v>7804</v>
      </c>
      <c r="S223" s="20">
        <f>SUBTOTAL(109,Table7811172329354144[Public Entity])</f>
        <v>62165</v>
      </c>
      <c r="T223" s="20">
        <f>SUBTOTAL(109,Table7811172329354144[Stretcher])</f>
        <v>627</v>
      </c>
      <c r="U223" s="20">
        <f>SUBTOTAL(109,Table7811172329354144[TNC Vendor])</f>
        <v>740</v>
      </c>
      <c r="V223" s="20">
        <f>SUBTOTAL(109,Table7811172329354144[Wheelchair])</f>
        <v>2221</v>
      </c>
      <c r="W223" s="20">
        <f>SUBTOTAL(109,Table7811172329354144[Total])</f>
        <v>159234</v>
      </c>
    </row>
    <row r="224" spans="2:23" ht="19.2" x14ac:dyDescent="0.45">
      <c r="B224" s="19" t="s">
        <v>20</v>
      </c>
      <c r="C224" s="19"/>
      <c r="D224" s="19">
        <f>SUBTOTAL(109,Table6710162228344043[[Bus ]])</f>
        <v>43142</v>
      </c>
      <c r="E224" s="19">
        <f>SUBTOTAL(109,Table6710162228344043[Cab])</f>
        <v>23017</v>
      </c>
      <c r="F224" s="19">
        <f>SUBTOTAL(109,Table6710162228344043[GMR])</f>
        <v>8464</v>
      </c>
      <c r="G224" s="19">
        <f>SUBTOTAL(109,Table6710162228344043[Public Entity])</f>
        <v>50261</v>
      </c>
      <c r="H224" s="19">
        <f>SUBTOTAL(109,Table6710162228344043[Stretcher])</f>
        <v>709</v>
      </c>
      <c r="I224" s="19">
        <f>SUBTOTAL(109,Table6710162228344043[TNC Vendor])</f>
        <v>2572</v>
      </c>
      <c r="J224" s="19">
        <f>SUBTOTAL(109,Table6710162228344043[Wheelchair])</f>
        <v>2180</v>
      </c>
      <c r="K224" s="19">
        <f>SUBTOTAL(109,Table6710162228344043[Total])</f>
        <v>130345</v>
      </c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2:23" ht="19.2" x14ac:dyDescent="0.45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2:23" ht="19.2" x14ac:dyDescent="0.45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2:23" ht="19.2" x14ac:dyDescent="0.45">
      <c r="B227" s="34">
        <v>45566</v>
      </c>
      <c r="C227" s="34"/>
      <c r="D227" s="34"/>
      <c r="E227" s="35" t="s">
        <v>22</v>
      </c>
      <c r="F227" s="35"/>
      <c r="G227" s="35"/>
      <c r="H227" s="35"/>
      <c r="I227" s="35"/>
      <c r="J227" s="35"/>
      <c r="K227" s="35"/>
      <c r="L227" s="1"/>
      <c r="M227" s="1"/>
      <c r="N227" s="36">
        <v>45931</v>
      </c>
      <c r="O227" s="36"/>
      <c r="P227" s="36"/>
      <c r="Q227" s="37" t="s">
        <v>22</v>
      </c>
      <c r="R227" s="37"/>
      <c r="S227" s="37"/>
      <c r="T227" s="37"/>
      <c r="U227" s="37"/>
      <c r="V227" s="37"/>
      <c r="W227" s="37"/>
    </row>
    <row r="228" spans="2:23" ht="19.2" x14ac:dyDescent="0.45">
      <c r="B228" s="34"/>
      <c r="C228" s="34"/>
      <c r="D228" s="34"/>
      <c r="E228" s="35"/>
      <c r="F228" s="35"/>
      <c r="G228" s="35"/>
      <c r="H228" s="35"/>
      <c r="I228" s="35"/>
      <c r="J228" s="35"/>
      <c r="K228" s="35"/>
      <c r="L228" s="1"/>
      <c r="M228" s="1"/>
      <c r="N228" s="36"/>
      <c r="O228" s="36"/>
      <c r="P228" s="36"/>
      <c r="Q228" s="37"/>
      <c r="R228" s="37"/>
      <c r="S228" s="37"/>
      <c r="T228" s="37"/>
      <c r="U228" s="37"/>
      <c r="V228" s="37"/>
      <c r="W228" s="37"/>
    </row>
    <row r="229" spans="2:23" s="26" customFormat="1" ht="20.399999999999999" x14ac:dyDescent="0.45">
      <c r="B229" s="13" t="s">
        <v>23</v>
      </c>
      <c r="C229" s="13" t="s">
        <v>24</v>
      </c>
      <c r="D229" s="13" t="s">
        <v>25</v>
      </c>
      <c r="E229" s="13" t="s">
        <v>0</v>
      </c>
      <c r="F229" s="13" t="s">
        <v>26</v>
      </c>
      <c r="G229" s="13" t="s">
        <v>27</v>
      </c>
      <c r="H229" s="13" t="s">
        <v>1</v>
      </c>
      <c r="I229" s="13" t="s">
        <v>2</v>
      </c>
      <c r="J229" s="13" t="s">
        <v>3</v>
      </c>
      <c r="K229" s="13" t="s">
        <v>20</v>
      </c>
      <c r="L229" s="24"/>
      <c r="M229" s="24"/>
      <c r="N229" s="13" t="s">
        <v>23</v>
      </c>
      <c r="O229" s="13" t="s">
        <v>24</v>
      </c>
      <c r="P229" s="13" t="s">
        <v>25</v>
      </c>
      <c r="Q229" s="13" t="s">
        <v>0</v>
      </c>
      <c r="R229" s="13" t="s">
        <v>26</v>
      </c>
      <c r="S229" s="13" t="s">
        <v>27</v>
      </c>
      <c r="T229" s="13" t="s">
        <v>1</v>
      </c>
      <c r="U229" s="13" t="s">
        <v>2</v>
      </c>
      <c r="V229" s="13" t="s">
        <v>3</v>
      </c>
      <c r="W229" s="13" t="s">
        <v>20</v>
      </c>
    </row>
    <row r="230" spans="2:23" ht="19.2" x14ac:dyDescent="0.45">
      <c r="B230" s="8" t="s">
        <v>4</v>
      </c>
      <c r="C230" s="8" t="s">
        <v>28</v>
      </c>
      <c r="D230" s="8">
        <v>337</v>
      </c>
      <c r="E230" s="8">
        <v>910</v>
      </c>
      <c r="F230" s="8">
        <v>142</v>
      </c>
      <c r="G230" s="8">
        <v>501</v>
      </c>
      <c r="H230" s="8">
        <v>0</v>
      </c>
      <c r="I230" s="8">
        <v>23</v>
      </c>
      <c r="J230" s="8">
        <v>67</v>
      </c>
      <c r="K230" s="11">
        <f>SUM(Table671016222834404349[[#This Row],[Bus ]:[Wheelchair]])</f>
        <v>1980</v>
      </c>
      <c r="L230" s="1"/>
      <c r="M230" s="1"/>
      <c r="N230" s="8" t="s">
        <v>4</v>
      </c>
      <c r="O230" s="8" t="s">
        <v>28</v>
      </c>
      <c r="P230" s="8">
        <v>20</v>
      </c>
      <c r="Q230" s="8">
        <v>779</v>
      </c>
      <c r="R230" s="8">
        <v>176</v>
      </c>
      <c r="S230" s="8">
        <v>870</v>
      </c>
      <c r="T230" s="8">
        <v>0</v>
      </c>
      <c r="U230" s="8">
        <v>7</v>
      </c>
      <c r="V230" s="8">
        <v>91</v>
      </c>
      <c r="W230" s="11">
        <f>SUM(Table781117232935414450[[#This Row],[Bus ]:[Wheelchair]])</f>
        <v>1943</v>
      </c>
    </row>
    <row r="231" spans="2:23" ht="19.2" x14ac:dyDescent="0.45">
      <c r="B231" s="8" t="s">
        <v>5</v>
      </c>
      <c r="C231" s="8" t="s">
        <v>28</v>
      </c>
      <c r="D231" s="8">
        <v>0</v>
      </c>
      <c r="E231" s="8">
        <v>441</v>
      </c>
      <c r="F231" s="8">
        <v>159</v>
      </c>
      <c r="G231" s="8">
        <v>1</v>
      </c>
      <c r="H231" s="8">
        <v>1</v>
      </c>
      <c r="I231" s="8">
        <v>33</v>
      </c>
      <c r="J231" s="8">
        <v>1</v>
      </c>
      <c r="K231" s="11">
        <f>SUM(Table671016222834404349[[#This Row],[Bus ]:[Wheelchair]])</f>
        <v>636</v>
      </c>
      <c r="L231" s="1"/>
      <c r="M231" s="1"/>
      <c r="N231" s="8" t="s">
        <v>5</v>
      </c>
      <c r="O231" s="8" t="s">
        <v>28</v>
      </c>
      <c r="P231" s="8">
        <v>0</v>
      </c>
      <c r="Q231" s="8">
        <v>371</v>
      </c>
      <c r="R231" s="8">
        <v>161</v>
      </c>
      <c r="S231" s="8">
        <v>1</v>
      </c>
      <c r="T231" s="8">
        <v>0</v>
      </c>
      <c r="U231" s="8">
        <v>2</v>
      </c>
      <c r="V231" s="8">
        <v>13</v>
      </c>
      <c r="W231" s="11">
        <f>SUM(Table781117232935414450[[#This Row],[Bus ]:[Wheelchair]])</f>
        <v>548</v>
      </c>
    </row>
    <row r="232" spans="2:23" ht="19.2" x14ac:dyDescent="0.45">
      <c r="B232" s="8" t="s">
        <v>6</v>
      </c>
      <c r="C232" s="8" t="s">
        <v>28</v>
      </c>
      <c r="D232" s="8">
        <v>1</v>
      </c>
      <c r="E232" s="8">
        <v>265</v>
      </c>
      <c r="F232" s="8">
        <v>90</v>
      </c>
      <c r="G232" s="8">
        <v>1</v>
      </c>
      <c r="H232" s="8">
        <v>0</v>
      </c>
      <c r="I232" s="8">
        <v>1</v>
      </c>
      <c r="J232" s="8">
        <v>6</v>
      </c>
      <c r="K232" s="11">
        <f>SUM(Table671016222834404349[[#This Row],[Bus ]:[Wheelchair]])</f>
        <v>364</v>
      </c>
      <c r="L232" s="1"/>
      <c r="M232" s="1"/>
      <c r="N232" s="8" t="s">
        <v>6</v>
      </c>
      <c r="O232" s="8" t="s">
        <v>28</v>
      </c>
      <c r="P232" s="8">
        <v>0</v>
      </c>
      <c r="Q232" s="8">
        <v>345</v>
      </c>
      <c r="R232" s="8">
        <v>98</v>
      </c>
      <c r="S232" s="8">
        <v>5</v>
      </c>
      <c r="T232" s="8">
        <v>0</v>
      </c>
      <c r="U232" s="8">
        <v>1</v>
      </c>
      <c r="V232" s="8">
        <v>4</v>
      </c>
      <c r="W232" s="11">
        <f>SUM(Table781117232935414450[[#This Row],[Bus ]:[Wheelchair]])</f>
        <v>453</v>
      </c>
    </row>
    <row r="233" spans="2:23" ht="19.2" x14ac:dyDescent="0.45">
      <c r="B233" s="8" t="s">
        <v>7</v>
      </c>
      <c r="C233" s="8" t="s">
        <v>28</v>
      </c>
      <c r="D233" s="8">
        <v>0</v>
      </c>
      <c r="E233" s="8">
        <v>239</v>
      </c>
      <c r="F233" s="8">
        <v>175</v>
      </c>
      <c r="G233" s="8">
        <v>983</v>
      </c>
      <c r="H233" s="8">
        <v>0</v>
      </c>
      <c r="I233" s="8">
        <v>12</v>
      </c>
      <c r="J233" s="8">
        <v>0</v>
      </c>
      <c r="K233" s="11">
        <f>SUM(Table671016222834404349[[#This Row],[Bus ]:[Wheelchair]])</f>
        <v>1409</v>
      </c>
      <c r="L233" s="1"/>
      <c r="M233" s="1"/>
      <c r="N233" s="8" t="s">
        <v>7</v>
      </c>
      <c r="O233" s="8" t="s">
        <v>28</v>
      </c>
      <c r="P233" s="8">
        <v>0</v>
      </c>
      <c r="Q233" s="8">
        <v>112</v>
      </c>
      <c r="R233" s="8">
        <v>163</v>
      </c>
      <c r="S233" s="8">
        <v>1064</v>
      </c>
      <c r="T233" s="8">
        <v>0</v>
      </c>
      <c r="U233" s="8">
        <v>3</v>
      </c>
      <c r="V233" s="8">
        <v>0</v>
      </c>
      <c r="W233" s="11">
        <f>SUM(Table781117232935414450[[#This Row],[Bus ]:[Wheelchair]])</f>
        <v>1342</v>
      </c>
    </row>
    <row r="234" spans="2:23" ht="19.2" x14ac:dyDescent="0.45">
      <c r="B234" s="8" t="s">
        <v>8</v>
      </c>
      <c r="C234" s="8" t="s">
        <v>28</v>
      </c>
      <c r="D234" s="8">
        <v>0</v>
      </c>
      <c r="E234" s="8">
        <v>20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11">
        <f>SUM(Table671016222834404349[[#This Row],[Bus ]:[Wheelchair]])</f>
        <v>20</v>
      </c>
      <c r="L234" s="1"/>
      <c r="M234" s="1"/>
      <c r="N234" s="8" t="s">
        <v>7</v>
      </c>
      <c r="O234" s="8" t="s">
        <v>28</v>
      </c>
      <c r="P234" s="8">
        <v>0</v>
      </c>
      <c r="Q234" s="8">
        <v>0</v>
      </c>
      <c r="R234" s="8">
        <v>1</v>
      </c>
      <c r="S234" s="8">
        <v>0</v>
      </c>
      <c r="T234" s="8">
        <v>0</v>
      </c>
      <c r="U234" s="8">
        <v>0</v>
      </c>
      <c r="V234" s="8">
        <v>0</v>
      </c>
      <c r="W234" s="11">
        <f>SUM(Table781117232935414450[[#This Row],[Bus ]:[Wheelchair]])</f>
        <v>1</v>
      </c>
    </row>
    <row r="235" spans="2:23" ht="19.2" x14ac:dyDescent="0.45">
      <c r="B235" s="8" t="s">
        <v>9</v>
      </c>
      <c r="C235" s="8" t="s">
        <v>28</v>
      </c>
      <c r="D235" s="8">
        <v>0</v>
      </c>
      <c r="E235" s="8">
        <v>16</v>
      </c>
      <c r="F235" s="8">
        <v>2</v>
      </c>
      <c r="G235" s="8">
        <v>0</v>
      </c>
      <c r="H235" s="8">
        <v>0</v>
      </c>
      <c r="I235" s="8">
        <v>1</v>
      </c>
      <c r="J235" s="8">
        <v>0</v>
      </c>
      <c r="K235" s="11">
        <f>SUM(Table671016222834404349[[#This Row],[Bus ]:[Wheelchair]])</f>
        <v>19</v>
      </c>
      <c r="L235" s="1"/>
      <c r="M235" s="1"/>
      <c r="N235" s="8" t="s">
        <v>8</v>
      </c>
      <c r="O235" s="8" t="s">
        <v>28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9</v>
      </c>
      <c r="W235" s="11">
        <f>SUM(Table781117232935414450[[#This Row],[Bus ]:[Wheelchair]])</f>
        <v>9</v>
      </c>
    </row>
    <row r="236" spans="2:23" ht="19.2" x14ac:dyDescent="0.45">
      <c r="B236" s="8" t="s">
        <v>10</v>
      </c>
      <c r="C236" s="8" t="s">
        <v>28</v>
      </c>
      <c r="D236" s="8">
        <v>0</v>
      </c>
      <c r="E236" s="8">
        <v>35</v>
      </c>
      <c r="F236" s="8">
        <v>101</v>
      </c>
      <c r="G236" s="8">
        <v>0</v>
      </c>
      <c r="H236" s="8">
        <v>0</v>
      </c>
      <c r="I236" s="8">
        <v>1</v>
      </c>
      <c r="J236" s="8">
        <v>0</v>
      </c>
      <c r="K236" s="11">
        <f>SUM(Table671016222834404349[[#This Row],[Bus ]:[Wheelchair]])</f>
        <v>137</v>
      </c>
      <c r="L236" s="1"/>
      <c r="M236" s="1"/>
      <c r="N236" s="8" t="s">
        <v>9</v>
      </c>
      <c r="O236" s="8" t="s">
        <v>28</v>
      </c>
      <c r="P236" s="8">
        <v>0</v>
      </c>
      <c r="Q236" s="8">
        <v>17</v>
      </c>
      <c r="R236" s="8">
        <v>6</v>
      </c>
      <c r="S236" s="8">
        <v>0</v>
      </c>
      <c r="T236" s="8">
        <v>0</v>
      </c>
      <c r="U236" s="8">
        <v>0</v>
      </c>
      <c r="V236" s="8">
        <v>0</v>
      </c>
      <c r="W236" s="11">
        <f>SUM(Table781117232935414450[[#This Row],[Bus ]:[Wheelchair]])</f>
        <v>23</v>
      </c>
    </row>
    <row r="237" spans="2:23" ht="19.2" x14ac:dyDescent="0.45">
      <c r="B237" s="8" t="s">
        <v>11</v>
      </c>
      <c r="C237" s="8" t="s">
        <v>28</v>
      </c>
      <c r="D237" s="8">
        <v>0</v>
      </c>
      <c r="E237" s="8">
        <v>32</v>
      </c>
      <c r="F237" s="8">
        <v>25</v>
      </c>
      <c r="G237" s="8">
        <v>0</v>
      </c>
      <c r="H237" s="8">
        <v>0</v>
      </c>
      <c r="I237" s="8">
        <v>1</v>
      </c>
      <c r="J237" s="8">
        <v>0</v>
      </c>
      <c r="K237" s="11">
        <f>SUM(Table671016222834404349[[#This Row],[Bus ]:[Wheelchair]])</f>
        <v>58</v>
      </c>
      <c r="L237" s="1"/>
      <c r="M237" s="1"/>
      <c r="N237" s="8" t="s">
        <v>10</v>
      </c>
      <c r="O237" s="8" t="s">
        <v>28</v>
      </c>
      <c r="P237" s="8">
        <v>0</v>
      </c>
      <c r="Q237" s="8">
        <v>14</v>
      </c>
      <c r="R237" s="8">
        <v>55</v>
      </c>
      <c r="S237" s="8">
        <v>0</v>
      </c>
      <c r="T237" s="8">
        <v>0</v>
      </c>
      <c r="U237" s="8">
        <v>0</v>
      </c>
      <c r="V237" s="8">
        <v>0</v>
      </c>
      <c r="W237" s="11">
        <f>SUM(Table781117232935414450[[#This Row],[Bus ]:[Wheelchair]])</f>
        <v>69</v>
      </c>
    </row>
    <row r="238" spans="2:23" ht="19.2" x14ac:dyDescent="0.45">
      <c r="B238" s="8" t="s">
        <v>12</v>
      </c>
      <c r="C238" s="8" t="s">
        <v>28</v>
      </c>
      <c r="D238" s="8">
        <v>9</v>
      </c>
      <c r="E238" s="8">
        <v>6</v>
      </c>
      <c r="F238" s="8">
        <v>5</v>
      </c>
      <c r="G238" s="8">
        <v>0</v>
      </c>
      <c r="H238" s="8">
        <v>0</v>
      </c>
      <c r="I238" s="8">
        <v>0</v>
      </c>
      <c r="J238" s="8">
        <v>0</v>
      </c>
      <c r="K238" s="11">
        <f>SUM(Table671016222834404349[[#This Row],[Bus ]:[Wheelchair]])</f>
        <v>20</v>
      </c>
      <c r="L238" s="1"/>
      <c r="M238" s="1"/>
      <c r="N238" s="8" t="s">
        <v>11</v>
      </c>
      <c r="O238" s="8" t="s">
        <v>28</v>
      </c>
      <c r="P238" s="8">
        <v>0</v>
      </c>
      <c r="Q238" s="8">
        <v>6</v>
      </c>
      <c r="R238" s="8">
        <v>17</v>
      </c>
      <c r="S238" s="8">
        <v>0</v>
      </c>
      <c r="T238" s="8">
        <v>0</v>
      </c>
      <c r="U238" s="8">
        <v>0</v>
      </c>
      <c r="V238" s="8">
        <v>0</v>
      </c>
      <c r="W238" s="11">
        <f>SUM(Table781117232935414450[[#This Row],[Bus ]:[Wheelchair]])</f>
        <v>23</v>
      </c>
    </row>
    <row r="239" spans="2:23" ht="19.2" x14ac:dyDescent="0.45">
      <c r="B239" s="8" t="s">
        <v>13</v>
      </c>
      <c r="C239" s="8" t="s">
        <v>28</v>
      </c>
      <c r="D239" s="8">
        <v>0</v>
      </c>
      <c r="E239" s="8">
        <v>382</v>
      </c>
      <c r="F239" s="8">
        <v>225</v>
      </c>
      <c r="G239" s="8">
        <v>3</v>
      </c>
      <c r="H239" s="8">
        <v>0</v>
      </c>
      <c r="I239" s="8">
        <v>10</v>
      </c>
      <c r="J239" s="8">
        <v>21</v>
      </c>
      <c r="K239" s="11">
        <f>SUM(Table671016222834404349[[#This Row],[Bus ]:[Wheelchair]])</f>
        <v>641</v>
      </c>
      <c r="L239" s="1"/>
      <c r="M239" s="1"/>
      <c r="N239" s="8" t="s">
        <v>12</v>
      </c>
      <c r="O239" s="8" t="s">
        <v>28</v>
      </c>
      <c r="P239" s="8">
        <v>0</v>
      </c>
      <c r="Q239" s="8">
        <v>8</v>
      </c>
      <c r="R239" s="8">
        <v>2</v>
      </c>
      <c r="S239" s="8">
        <v>0</v>
      </c>
      <c r="T239" s="8">
        <v>0</v>
      </c>
      <c r="U239" s="8">
        <v>0</v>
      </c>
      <c r="V239" s="8">
        <v>0</v>
      </c>
      <c r="W239" s="11">
        <f>SUM(Table781117232935414450[[#This Row],[Bus ]:[Wheelchair]])</f>
        <v>10</v>
      </c>
    </row>
    <row r="240" spans="2:23" ht="19.2" x14ac:dyDescent="0.45">
      <c r="B240" s="8" t="s">
        <v>14</v>
      </c>
      <c r="C240" s="8" t="s">
        <v>28</v>
      </c>
      <c r="D240" s="8">
        <v>0</v>
      </c>
      <c r="E240" s="8">
        <v>41</v>
      </c>
      <c r="F240" s="8">
        <v>4</v>
      </c>
      <c r="G240" s="8">
        <v>0</v>
      </c>
      <c r="H240" s="8">
        <v>0</v>
      </c>
      <c r="I240" s="8">
        <v>0</v>
      </c>
      <c r="J240" s="8">
        <v>1</v>
      </c>
      <c r="K240" s="11">
        <f>SUM(Table671016222834404349[[#This Row],[Bus ]:[Wheelchair]])</f>
        <v>46</v>
      </c>
      <c r="L240" s="1"/>
      <c r="M240" s="1"/>
      <c r="N240" s="8" t="s">
        <v>13</v>
      </c>
      <c r="O240" s="8" t="s">
        <v>28</v>
      </c>
      <c r="P240" s="8">
        <v>0</v>
      </c>
      <c r="Q240" s="8">
        <v>391</v>
      </c>
      <c r="R240" s="8">
        <v>237</v>
      </c>
      <c r="S240" s="8">
        <v>1</v>
      </c>
      <c r="T240" s="8">
        <v>0</v>
      </c>
      <c r="U240" s="8">
        <v>4</v>
      </c>
      <c r="V240" s="8">
        <v>10</v>
      </c>
      <c r="W240" s="11">
        <f>SUM(Table781117232935414450[[#This Row],[Bus ]:[Wheelchair]])</f>
        <v>643</v>
      </c>
    </row>
    <row r="241" spans="2:23" ht="19.2" x14ac:dyDescent="0.45">
      <c r="B241" s="8" t="s">
        <v>15</v>
      </c>
      <c r="C241" s="8" t="s">
        <v>28</v>
      </c>
      <c r="D241" s="8">
        <v>500</v>
      </c>
      <c r="E241" s="8">
        <v>1139</v>
      </c>
      <c r="F241" s="8">
        <v>463</v>
      </c>
      <c r="G241" s="8">
        <v>11</v>
      </c>
      <c r="H241" s="8">
        <v>7</v>
      </c>
      <c r="I241" s="8">
        <v>38</v>
      </c>
      <c r="J241" s="8">
        <v>81</v>
      </c>
      <c r="K241" s="11">
        <f>SUM(Table671016222834404349[[#This Row],[Bus ]:[Wheelchair]])</f>
        <v>2239</v>
      </c>
      <c r="L241" s="1"/>
      <c r="M241" s="1"/>
      <c r="N241" s="8" t="s">
        <v>14</v>
      </c>
      <c r="O241" s="8" t="s">
        <v>28</v>
      </c>
      <c r="P241" s="8">
        <v>0</v>
      </c>
      <c r="Q241" s="8">
        <v>84</v>
      </c>
      <c r="R241" s="8">
        <v>19</v>
      </c>
      <c r="S241" s="8">
        <v>0</v>
      </c>
      <c r="T241" s="8">
        <v>0</v>
      </c>
      <c r="U241" s="8">
        <v>0</v>
      </c>
      <c r="V241" s="8">
        <v>1</v>
      </c>
      <c r="W241" s="11">
        <f>SUM(Table781117232935414450[[#This Row],[Bus ]:[Wheelchair]])</f>
        <v>104</v>
      </c>
    </row>
    <row r="242" spans="2:23" ht="19.2" x14ac:dyDescent="0.45">
      <c r="B242" s="8" t="s">
        <v>16</v>
      </c>
      <c r="C242" s="8" t="s">
        <v>28</v>
      </c>
      <c r="D242" s="8">
        <v>0</v>
      </c>
      <c r="E242" s="8">
        <v>12</v>
      </c>
      <c r="F242" s="8">
        <v>52</v>
      </c>
      <c r="G242" s="8">
        <v>0</v>
      </c>
      <c r="H242" s="8">
        <v>0</v>
      </c>
      <c r="I242" s="8">
        <v>0</v>
      </c>
      <c r="J242" s="8">
        <v>0</v>
      </c>
      <c r="K242" s="11">
        <f>SUM(Table671016222834404349[[#This Row],[Bus ]:[Wheelchair]])</f>
        <v>64</v>
      </c>
      <c r="L242" s="1"/>
      <c r="M242" s="1"/>
      <c r="N242" s="8" t="s">
        <v>15</v>
      </c>
      <c r="O242" s="8" t="s">
        <v>28</v>
      </c>
      <c r="P242" s="8">
        <v>110</v>
      </c>
      <c r="Q242" s="8">
        <v>786</v>
      </c>
      <c r="R242" s="8">
        <v>401</v>
      </c>
      <c r="S242" s="8">
        <v>21</v>
      </c>
      <c r="T242" s="8">
        <v>1</v>
      </c>
      <c r="U242" s="8">
        <v>26</v>
      </c>
      <c r="V242" s="8">
        <v>111</v>
      </c>
      <c r="W242" s="11">
        <f>SUM(Table781117232935414450[[#This Row],[Bus ]:[Wheelchair]])</f>
        <v>1456</v>
      </c>
    </row>
    <row r="243" spans="2:23" ht="19.2" x14ac:dyDescent="0.45">
      <c r="B243" s="8" t="s">
        <v>17</v>
      </c>
      <c r="C243" s="8" t="s">
        <v>28</v>
      </c>
      <c r="D243" s="8">
        <v>0</v>
      </c>
      <c r="E243" s="8">
        <v>14</v>
      </c>
      <c r="F243" s="8">
        <v>18</v>
      </c>
      <c r="G243" s="8">
        <v>0</v>
      </c>
      <c r="H243" s="8">
        <v>0</v>
      </c>
      <c r="I243" s="8">
        <v>0</v>
      </c>
      <c r="J243" s="8">
        <v>0</v>
      </c>
      <c r="K243" s="11">
        <f>SUM(Table671016222834404349[[#This Row],[Bus ]:[Wheelchair]])</f>
        <v>32</v>
      </c>
      <c r="L243" s="1"/>
      <c r="M243" s="1"/>
      <c r="N243" s="8" t="s">
        <v>16</v>
      </c>
      <c r="O243" s="8" t="s">
        <v>28</v>
      </c>
      <c r="P243" s="8">
        <v>0</v>
      </c>
      <c r="Q243" s="8">
        <v>45</v>
      </c>
      <c r="R243" s="8">
        <v>89</v>
      </c>
      <c r="S243" s="8">
        <v>0</v>
      </c>
      <c r="T243" s="8">
        <v>0</v>
      </c>
      <c r="U243" s="8">
        <v>4</v>
      </c>
      <c r="V243" s="8">
        <v>1</v>
      </c>
      <c r="W243" s="11">
        <f>SUM(Table781117232935414450[[#This Row],[Bus ]:[Wheelchair]])</f>
        <v>139</v>
      </c>
    </row>
    <row r="244" spans="2:23" ht="19.2" x14ac:dyDescent="0.45">
      <c r="B244" s="8" t="s">
        <v>18</v>
      </c>
      <c r="C244" s="8" t="s">
        <v>29</v>
      </c>
      <c r="D244" s="8">
        <v>56684</v>
      </c>
      <c r="E244" s="8">
        <v>14910</v>
      </c>
      <c r="F244" s="8">
        <v>6510</v>
      </c>
      <c r="G244" s="8">
        <v>50831</v>
      </c>
      <c r="H244" s="8">
        <v>643</v>
      </c>
      <c r="I244" s="8">
        <v>2241</v>
      </c>
      <c r="J244" s="8">
        <v>1770</v>
      </c>
      <c r="K244" s="11">
        <f>SUM(Table671016222834404349[[#This Row],[Bus ]:[Wheelchair]])</f>
        <v>133589</v>
      </c>
      <c r="L244" s="1"/>
      <c r="M244" s="1"/>
      <c r="N244" s="8" t="s">
        <v>21</v>
      </c>
      <c r="O244" s="8" t="s">
        <v>28</v>
      </c>
      <c r="P244" s="8">
        <v>0</v>
      </c>
      <c r="Q244" s="8">
        <v>0</v>
      </c>
      <c r="R244" s="8">
        <v>1</v>
      </c>
      <c r="S244" s="8">
        <v>0</v>
      </c>
      <c r="T244" s="8">
        <v>0</v>
      </c>
      <c r="U244" s="8">
        <v>0</v>
      </c>
      <c r="V244" s="8">
        <v>0</v>
      </c>
      <c r="W244" s="11">
        <f>SUM(Table781117232935414450[[#This Row],[Bus ]:[Wheelchair]])</f>
        <v>1</v>
      </c>
    </row>
    <row r="245" spans="2:23" ht="19.2" x14ac:dyDescent="0.45">
      <c r="B245" s="8" t="s">
        <v>19</v>
      </c>
      <c r="C245" s="8" t="s">
        <v>29</v>
      </c>
      <c r="D245" s="8">
        <v>487</v>
      </c>
      <c r="E245" s="8">
        <v>4757</v>
      </c>
      <c r="F245" s="8">
        <v>1035</v>
      </c>
      <c r="G245" s="8">
        <v>5319</v>
      </c>
      <c r="H245" s="8">
        <v>79</v>
      </c>
      <c r="I245" s="8">
        <v>209</v>
      </c>
      <c r="J245" s="8">
        <v>503</v>
      </c>
      <c r="K245" s="11">
        <f>SUM(Table671016222834404349[[#This Row],[Bus ]:[Wheelchair]])</f>
        <v>12389</v>
      </c>
      <c r="L245" s="1"/>
      <c r="M245" s="1"/>
      <c r="N245" s="8" t="s">
        <v>17</v>
      </c>
      <c r="O245" s="8" t="s">
        <v>28</v>
      </c>
      <c r="P245" s="8">
        <v>0</v>
      </c>
      <c r="Q245" s="8">
        <v>4</v>
      </c>
      <c r="R245" s="8">
        <v>27</v>
      </c>
      <c r="S245" s="8">
        <v>0</v>
      </c>
      <c r="T245" s="8">
        <v>0</v>
      </c>
      <c r="U245" s="8">
        <v>0</v>
      </c>
      <c r="V245" s="8">
        <v>0</v>
      </c>
      <c r="W245" s="1">
        <f>SUM(Table781117232935414450[[#This Row],[Bus ]:[Wheelchair]])</f>
        <v>31</v>
      </c>
    </row>
    <row r="246" spans="2:23" ht="19.2" x14ac:dyDescent="0.45">
      <c r="B246" s="19" t="s">
        <v>20</v>
      </c>
      <c r="C246" s="19"/>
      <c r="D246" s="19">
        <f>SUBTOTAL(109,Table671016222834404349[[Bus ]])</f>
        <v>58018</v>
      </c>
      <c r="E246" s="19">
        <f>SUBTOTAL(109,Table671016222834404349[Cab])</f>
        <v>23219</v>
      </c>
      <c r="F246" s="19">
        <f>SUBTOTAL(109,Table671016222834404349[GMR])</f>
        <v>9006</v>
      </c>
      <c r="G246" s="19">
        <f>SUBTOTAL(109,Table671016222834404349[Public Entity])</f>
        <v>57650</v>
      </c>
      <c r="H246" s="19">
        <f>SUBTOTAL(109,Table671016222834404349[Stretcher])</f>
        <v>730</v>
      </c>
      <c r="I246" s="19">
        <f>SUBTOTAL(109,Table671016222834404349[TNC Vendor])</f>
        <v>2570</v>
      </c>
      <c r="J246" s="19">
        <f>SUBTOTAL(109,Table671016222834404349[Wheelchair])</f>
        <v>2450</v>
      </c>
      <c r="K246" s="19">
        <f>SUBTOTAL(109,Table671016222834404349[Total])</f>
        <v>153643</v>
      </c>
      <c r="L246" s="1"/>
      <c r="M246" s="1"/>
      <c r="N246" s="8" t="s">
        <v>18</v>
      </c>
      <c r="O246" s="8" t="s">
        <v>29</v>
      </c>
      <c r="P246" s="8">
        <v>63989</v>
      </c>
      <c r="Q246" s="8">
        <v>15682</v>
      </c>
      <c r="R246" s="8">
        <v>5580</v>
      </c>
      <c r="S246" s="8">
        <v>60837</v>
      </c>
      <c r="T246" s="8">
        <v>597</v>
      </c>
      <c r="U246" s="8">
        <v>760</v>
      </c>
      <c r="V246" s="8">
        <v>1758</v>
      </c>
      <c r="W246" s="1">
        <f>SUM(Table781117232935414450[[#This Row],[Bus ]:[Wheelchair]])</f>
        <v>149203</v>
      </c>
    </row>
    <row r="247" spans="2:23" ht="19.2" x14ac:dyDescent="0.45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1" t="s">
        <v>19</v>
      </c>
      <c r="O247" s="11" t="s">
        <v>29</v>
      </c>
      <c r="P247" s="11">
        <v>702</v>
      </c>
      <c r="Q247" s="11">
        <v>4888</v>
      </c>
      <c r="R247" s="11">
        <v>1015</v>
      </c>
      <c r="S247" s="11">
        <v>3445</v>
      </c>
      <c r="T247" s="11">
        <v>87</v>
      </c>
      <c r="U247" s="11">
        <v>64</v>
      </c>
      <c r="V247" s="11">
        <v>265</v>
      </c>
      <c r="W247" s="22">
        <f>SUM(Table781117232935414450[[#This Row],[Bus ]:[Wheelchair]])</f>
        <v>10466</v>
      </c>
    </row>
    <row r="248" spans="2:23" ht="19.2" x14ac:dyDescent="0.45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0" t="s">
        <v>20</v>
      </c>
      <c r="O248" s="20"/>
      <c r="P248" s="20">
        <f>SUBTOTAL(109,Table781117232935414450[[Bus ]])</f>
        <v>64821</v>
      </c>
      <c r="Q248" s="20">
        <f>SUBTOTAL(109,Table781117232935414450[Cab])</f>
        <v>23532</v>
      </c>
      <c r="R248" s="20">
        <f>SUBTOTAL(109,Table781117232935414450[GMR])</f>
        <v>8048</v>
      </c>
      <c r="S248" s="20">
        <f>SUBTOTAL(109,Table781117232935414450[Public Entity])</f>
        <v>66244</v>
      </c>
      <c r="T248" s="20">
        <f>SUBTOTAL(109,Table781117232935414450[Stretcher])</f>
        <v>685</v>
      </c>
      <c r="U248" s="20">
        <f>SUBTOTAL(109,Table781117232935414450[TNC Vendor])</f>
        <v>871</v>
      </c>
      <c r="V248" s="20">
        <f>SUBTOTAL(109,Table781117232935414450[Wheelchair])</f>
        <v>2263</v>
      </c>
      <c r="W248" s="20">
        <f>SUBTOTAL(109,Table781117232935414450[Total])</f>
        <v>166464</v>
      </c>
    </row>
    <row r="249" spans="2:23" ht="19.2" x14ac:dyDescent="0.45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2:23" ht="19.2" x14ac:dyDescent="0.45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2:23" ht="19.2" x14ac:dyDescent="0.45">
      <c r="B251" s="34">
        <v>45597</v>
      </c>
      <c r="C251" s="34"/>
      <c r="D251" s="34"/>
      <c r="E251" s="35" t="s">
        <v>22</v>
      </c>
      <c r="F251" s="35"/>
      <c r="G251" s="35"/>
      <c r="H251" s="35"/>
      <c r="I251" s="35"/>
      <c r="J251" s="35"/>
      <c r="K251" s="35"/>
      <c r="L251" s="1"/>
      <c r="M251" s="1"/>
      <c r="N251" s="36">
        <v>45962</v>
      </c>
      <c r="O251" s="36"/>
      <c r="P251" s="36"/>
      <c r="Q251" s="37" t="s">
        <v>22</v>
      </c>
      <c r="R251" s="37"/>
      <c r="S251" s="37"/>
      <c r="T251" s="37"/>
      <c r="U251" s="37"/>
      <c r="V251" s="37"/>
      <c r="W251" s="37"/>
    </row>
    <row r="252" spans="2:23" ht="19.2" x14ac:dyDescent="0.45">
      <c r="B252" s="34"/>
      <c r="C252" s="34"/>
      <c r="D252" s="34"/>
      <c r="E252" s="35"/>
      <c r="F252" s="35"/>
      <c r="G252" s="35"/>
      <c r="H252" s="35"/>
      <c r="I252" s="35"/>
      <c r="J252" s="35"/>
      <c r="K252" s="35"/>
      <c r="L252" s="1"/>
      <c r="M252" s="1"/>
      <c r="N252" s="36"/>
      <c r="O252" s="36"/>
      <c r="P252" s="36"/>
      <c r="Q252" s="37"/>
      <c r="R252" s="37"/>
      <c r="S252" s="37"/>
      <c r="T252" s="37"/>
      <c r="U252" s="37"/>
      <c r="V252" s="37"/>
      <c r="W252" s="37"/>
    </row>
    <row r="253" spans="2:23" s="26" customFormat="1" ht="20.399999999999999" x14ac:dyDescent="0.45">
      <c r="B253" s="13" t="s">
        <v>23</v>
      </c>
      <c r="C253" s="13" t="s">
        <v>24</v>
      </c>
      <c r="D253" s="13" t="s">
        <v>25</v>
      </c>
      <c r="E253" s="13" t="s">
        <v>0</v>
      </c>
      <c r="F253" s="13" t="s">
        <v>26</v>
      </c>
      <c r="G253" s="13" t="s">
        <v>27</v>
      </c>
      <c r="H253" s="13" t="s">
        <v>1</v>
      </c>
      <c r="I253" s="13" t="s">
        <v>2</v>
      </c>
      <c r="J253" s="13" t="s">
        <v>3</v>
      </c>
      <c r="K253" s="13" t="s">
        <v>20</v>
      </c>
      <c r="L253" s="24"/>
      <c r="M253" s="24"/>
      <c r="N253" s="13" t="s">
        <v>23</v>
      </c>
      <c r="O253" s="13" t="s">
        <v>24</v>
      </c>
      <c r="P253" s="13" t="s">
        <v>25</v>
      </c>
      <c r="Q253" s="13" t="s">
        <v>0</v>
      </c>
      <c r="R253" s="13" t="s">
        <v>26</v>
      </c>
      <c r="S253" s="13" t="s">
        <v>27</v>
      </c>
      <c r="T253" s="13" t="s">
        <v>1</v>
      </c>
      <c r="U253" s="13" t="s">
        <v>2</v>
      </c>
      <c r="V253" s="13" t="s">
        <v>3</v>
      </c>
      <c r="W253" s="13" t="s">
        <v>20</v>
      </c>
    </row>
    <row r="254" spans="2:23" ht="19.2" x14ac:dyDescent="0.45">
      <c r="B254" s="8" t="s">
        <v>4</v>
      </c>
      <c r="C254" s="8" t="s">
        <v>28</v>
      </c>
      <c r="D254" s="8">
        <v>82</v>
      </c>
      <c r="E254" s="8">
        <v>681</v>
      </c>
      <c r="F254" s="8">
        <v>152</v>
      </c>
      <c r="G254" s="8">
        <v>549</v>
      </c>
      <c r="H254" s="8">
        <v>0</v>
      </c>
      <c r="I254" s="8">
        <v>14</v>
      </c>
      <c r="J254" s="8">
        <v>46</v>
      </c>
      <c r="K254" s="11">
        <f>SUM(Table67101622283440434958[[#This Row],[Bus ]:[Wheelchair]])</f>
        <v>1524</v>
      </c>
      <c r="L254" s="1"/>
      <c r="M254" s="1"/>
      <c r="N254" s="8" t="s">
        <v>4</v>
      </c>
      <c r="O254" s="8" t="s">
        <v>28</v>
      </c>
      <c r="P254" s="8">
        <v>31</v>
      </c>
      <c r="Q254" s="8">
        <v>720</v>
      </c>
      <c r="R254" s="8">
        <v>106</v>
      </c>
      <c r="S254" s="8">
        <v>605</v>
      </c>
      <c r="T254" s="8">
        <v>0</v>
      </c>
      <c r="U254" s="8">
        <v>4</v>
      </c>
      <c r="V254" s="8">
        <v>92</v>
      </c>
      <c r="W254" s="11">
        <f>SUM(Table78111723293541445059[[#This Row],[Bus ]:[Wheelchair]])</f>
        <v>1558</v>
      </c>
    </row>
    <row r="255" spans="2:23" ht="19.2" x14ac:dyDescent="0.45">
      <c r="B255" s="8" t="s">
        <v>5</v>
      </c>
      <c r="C255" s="8" t="s">
        <v>28</v>
      </c>
      <c r="D255" s="8">
        <v>0</v>
      </c>
      <c r="E255" s="8">
        <v>383</v>
      </c>
      <c r="F255" s="8">
        <v>131</v>
      </c>
      <c r="G255" s="8">
        <v>0</v>
      </c>
      <c r="H255" s="8">
        <v>0</v>
      </c>
      <c r="I255" s="8">
        <v>28</v>
      </c>
      <c r="J255" s="8">
        <v>0</v>
      </c>
      <c r="K255" s="11">
        <f>SUM(Table67101622283440434958[[#This Row],[Bus ]:[Wheelchair]])</f>
        <v>542</v>
      </c>
      <c r="L255" s="1"/>
      <c r="M255" s="1"/>
      <c r="N255" s="8" t="s">
        <v>5</v>
      </c>
      <c r="O255" s="8" t="s">
        <v>28</v>
      </c>
      <c r="P255" s="8">
        <v>0</v>
      </c>
      <c r="Q255" s="8">
        <v>367</v>
      </c>
      <c r="R255" s="25">
        <v>112</v>
      </c>
      <c r="S255" s="8">
        <v>0</v>
      </c>
      <c r="T255" s="8">
        <v>0</v>
      </c>
      <c r="U255" s="8">
        <v>3</v>
      </c>
      <c r="V255" s="8">
        <v>10</v>
      </c>
      <c r="W255" s="11">
        <f>SUM(Table78111723293541445059[[#This Row],[Bus ]:[Wheelchair]])</f>
        <v>492</v>
      </c>
    </row>
    <row r="256" spans="2:23" ht="19.2" x14ac:dyDescent="0.45">
      <c r="B256" s="8" t="s">
        <v>6</v>
      </c>
      <c r="C256" s="8" t="s">
        <v>28</v>
      </c>
      <c r="D256" s="8">
        <v>0</v>
      </c>
      <c r="E256" s="8">
        <v>281</v>
      </c>
      <c r="F256" s="8">
        <v>100</v>
      </c>
      <c r="G256" s="25">
        <v>2</v>
      </c>
      <c r="H256" s="8">
        <v>0</v>
      </c>
      <c r="I256" s="8">
        <v>3</v>
      </c>
      <c r="J256" s="8">
        <v>7</v>
      </c>
      <c r="K256" s="11">
        <f>SUM(Table67101622283440434958[[#This Row],[Bus ]:[Wheelchair]])</f>
        <v>393</v>
      </c>
      <c r="L256" s="1"/>
      <c r="M256" s="1"/>
      <c r="N256" s="8" t="s">
        <v>6</v>
      </c>
      <c r="O256" s="8" t="s">
        <v>28</v>
      </c>
      <c r="P256" s="8">
        <v>0</v>
      </c>
      <c r="Q256" s="8">
        <v>351</v>
      </c>
      <c r="R256" s="8">
        <v>105</v>
      </c>
      <c r="S256" s="8">
        <v>7</v>
      </c>
      <c r="T256" s="8">
        <v>0</v>
      </c>
      <c r="U256" s="8">
        <v>1</v>
      </c>
      <c r="V256" s="8">
        <v>1</v>
      </c>
      <c r="W256" s="11">
        <f>SUM(Table78111723293541445059[[#This Row],[Bus ]:[Wheelchair]])</f>
        <v>465</v>
      </c>
    </row>
    <row r="257" spans="2:23" ht="19.2" x14ac:dyDescent="0.45">
      <c r="B257" s="8" t="s">
        <v>7</v>
      </c>
      <c r="C257" s="8" t="s">
        <v>28</v>
      </c>
      <c r="D257" s="8">
        <v>0</v>
      </c>
      <c r="E257" s="8">
        <v>165</v>
      </c>
      <c r="F257" s="8">
        <v>164</v>
      </c>
      <c r="G257" s="8">
        <v>939</v>
      </c>
      <c r="H257" s="8">
        <v>0</v>
      </c>
      <c r="I257" s="8">
        <v>12</v>
      </c>
      <c r="J257" s="8">
        <v>8</v>
      </c>
      <c r="K257" s="11">
        <f>SUM(Table67101622283440434958[[#This Row],[Bus ]:[Wheelchair]])</f>
        <v>1288</v>
      </c>
      <c r="L257" s="1"/>
      <c r="M257" s="1"/>
      <c r="N257" s="8" t="s">
        <v>7</v>
      </c>
      <c r="O257" s="8" t="s">
        <v>28</v>
      </c>
      <c r="P257" s="8">
        <v>0</v>
      </c>
      <c r="Q257" s="8">
        <v>93</v>
      </c>
      <c r="R257" s="8">
        <v>155</v>
      </c>
      <c r="S257" s="8">
        <v>964</v>
      </c>
      <c r="T257" s="8">
        <v>0</v>
      </c>
      <c r="U257" s="8">
        <v>7</v>
      </c>
      <c r="V257" s="8">
        <v>0</v>
      </c>
      <c r="W257" s="11">
        <f>SUM(Table78111723293541445059[[#This Row],[Bus ]:[Wheelchair]])</f>
        <v>1219</v>
      </c>
    </row>
    <row r="258" spans="2:23" ht="19.2" x14ac:dyDescent="0.45">
      <c r="B258" s="8" t="s">
        <v>8</v>
      </c>
      <c r="C258" s="8" t="s">
        <v>28</v>
      </c>
      <c r="D258" s="8">
        <v>0</v>
      </c>
      <c r="E258" s="8">
        <v>16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11">
        <f>SUM(Table67101622283440434958[[#This Row],[Bus ]:[Wheelchair]])</f>
        <v>16</v>
      </c>
      <c r="L258" s="1"/>
      <c r="M258" s="1"/>
      <c r="N258" s="8" t="s">
        <v>9</v>
      </c>
      <c r="O258" s="8" t="s">
        <v>28</v>
      </c>
      <c r="P258" s="8">
        <v>0</v>
      </c>
      <c r="Q258" s="8">
        <v>10</v>
      </c>
      <c r="R258" s="8">
        <v>12</v>
      </c>
      <c r="S258" s="8">
        <v>0</v>
      </c>
      <c r="T258" s="8">
        <v>0</v>
      </c>
      <c r="U258" s="8">
        <v>0</v>
      </c>
      <c r="V258" s="8">
        <v>0</v>
      </c>
      <c r="W258" s="11">
        <f>SUM(Table78111723293541445059[[#This Row],[Bus ]:[Wheelchair]])</f>
        <v>22</v>
      </c>
    </row>
    <row r="259" spans="2:23" ht="19.2" x14ac:dyDescent="0.45">
      <c r="B259" s="8" t="s">
        <v>9</v>
      </c>
      <c r="C259" s="8" t="s">
        <v>28</v>
      </c>
      <c r="D259" s="8">
        <v>0</v>
      </c>
      <c r="E259" s="8">
        <v>5</v>
      </c>
      <c r="F259" s="8">
        <v>4</v>
      </c>
      <c r="G259" s="8">
        <v>0</v>
      </c>
      <c r="H259" s="8">
        <v>0</v>
      </c>
      <c r="I259" s="8">
        <v>0</v>
      </c>
      <c r="J259" s="8">
        <v>0</v>
      </c>
      <c r="K259" s="11">
        <f>SUM(Table67101622283440434958[[#This Row],[Bus ]:[Wheelchair]])</f>
        <v>9</v>
      </c>
      <c r="L259" s="1"/>
      <c r="M259" s="1"/>
      <c r="N259" s="8" t="s">
        <v>10</v>
      </c>
      <c r="O259" s="8" t="s">
        <v>28</v>
      </c>
      <c r="P259" s="8">
        <v>0</v>
      </c>
      <c r="Q259" s="8">
        <v>5</v>
      </c>
      <c r="R259" s="8">
        <v>63</v>
      </c>
      <c r="S259" s="8">
        <v>0</v>
      </c>
      <c r="T259" s="8">
        <v>0</v>
      </c>
      <c r="U259" s="8">
        <v>0</v>
      </c>
      <c r="V259" s="8">
        <v>0</v>
      </c>
      <c r="W259" s="11">
        <f>SUM(Table78111723293541445059[[#This Row],[Bus ]:[Wheelchair]])</f>
        <v>68</v>
      </c>
    </row>
    <row r="260" spans="2:23" ht="19.2" x14ac:dyDescent="0.45">
      <c r="B260" s="8" t="s">
        <v>10</v>
      </c>
      <c r="C260" s="8" t="s">
        <v>28</v>
      </c>
      <c r="D260" s="8">
        <v>0</v>
      </c>
      <c r="E260" s="8">
        <v>39</v>
      </c>
      <c r="F260" s="8">
        <v>81</v>
      </c>
      <c r="G260" s="8">
        <v>0</v>
      </c>
      <c r="H260" s="8">
        <v>0</v>
      </c>
      <c r="I260" s="8">
        <v>0</v>
      </c>
      <c r="J260" s="8">
        <v>0</v>
      </c>
      <c r="K260" s="11">
        <f>SUM(Table67101622283440434958[[#This Row],[Bus ]:[Wheelchair]])</f>
        <v>120</v>
      </c>
      <c r="L260" s="1"/>
      <c r="M260" s="1"/>
      <c r="N260" s="8" t="s">
        <v>11</v>
      </c>
      <c r="O260" s="8" t="s">
        <v>28</v>
      </c>
      <c r="P260" s="8">
        <v>0</v>
      </c>
      <c r="Q260" s="8">
        <v>12</v>
      </c>
      <c r="R260" s="8">
        <v>5</v>
      </c>
      <c r="S260" s="8">
        <v>0</v>
      </c>
      <c r="T260" s="8">
        <v>0</v>
      </c>
      <c r="U260" s="8">
        <v>1</v>
      </c>
      <c r="V260" s="8">
        <v>0</v>
      </c>
      <c r="W260" s="11">
        <f>SUM(Table78111723293541445059[[#This Row],[Bus ]:[Wheelchair]])</f>
        <v>18</v>
      </c>
    </row>
    <row r="261" spans="2:23" ht="19.2" x14ac:dyDescent="0.45">
      <c r="B261" s="8" t="s">
        <v>11</v>
      </c>
      <c r="C261" s="8" t="s">
        <v>28</v>
      </c>
      <c r="D261" s="8">
        <v>0</v>
      </c>
      <c r="E261" s="8">
        <v>37</v>
      </c>
      <c r="F261" s="8">
        <v>32</v>
      </c>
      <c r="G261" s="8">
        <v>0</v>
      </c>
      <c r="H261" s="8">
        <v>0</v>
      </c>
      <c r="I261" s="8">
        <v>0</v>
      </c>
      <c r="J261" s="8">
        <v>0</v>
      </c>
      <c r="K261" s="11">
        <f>SUM(Table67101622283440434958[[#This Row],[Bus ]:[Wheelchair]])</f>
        <v>69</v>
      </c>
      <c r="L261" s="1"/>
      <c r="M261" s="1"/>
      <c r="N261" s="8" t="s">
        <v>12</v>
      </c>
      <c r="O261" s="8" t="s">
        <v>28</v>
      </c>
      <c r="P261" s="8">
        <v>0</v>
      </c>
      <c r="Q261" s="8">
        <v>6</v>
      </c>
      <c r="R261" s="8">
        <v>2</v>
      </c>
      <c r="S261" s="8">
        <v>0</v>
      </c>
      <c r="T261" s="8">
        <v>0</v>
      </c>
      <c r="U261" s="8">
        <v>0</v>
      </c>
      <c r="V261" s="8">
        <v>0</v>
      </c>
      <c r="W261" s="11">
        <f>SUM(Table78111723293541445059[[#This Row],[Bus ]:[Wheelchair]])</f>
        <v>8</v>
      </c>
    </row>
    <row r="262" spans="2:23" ht="19.2" x14ac:dyDescent="0.45">
      <c r="B262" s="8" t="s">
        <v>12</v>
      </c>
      <c r="C262" s="8" t="s">
        <v>28</v>
      </c>
      <c r="D262" s="8">
        <v>0</v>
      </c>
      <c r="E262" s="8">
        <v>5</v>
      </c>
      <c r="F262" s="8">
        <v>3</v>
      </c>
      <c r="G262" s="8">
        <v>0</v>
      </c>
      <c r="H262" s="8">
        <v>0</v>
      </c>
      <c r="I262" s="8">
        <v>1</v>
      </c>
      <c r="J262" s="8">
        <v>0</v>
      </c>
      <c r="K262" s="11">
        <f>SUM(Table67101622283440434958[[#This Row],[Bus ]:[Wheelchair]])</f>
        <v>9</v>
      </c>
      <c r="L262" s="1"/>
      <c r="M262" s="1"/>
      <c r="N262" s="8" t="s">
        <v>13</v>
      </c>
      <c r="O262" s="8" t="s">
        <v>28</v>
      </c>
      <c r="P262" s="8">
        <v>0</v>
      </c>
      <c r="Q262" s="8">
        <v>326</v>
      </c>
      <c r="R262" s="8">
        <v>172</v>
      </c>
      <c r="S262" s="8">
        <v>1</v>
      </c>
      <c r="T262" s="8">
        <v>0</v>
      </c>
      <c r="U262" s="8">
        <v>1</v>
      </c>
      <c r="V262" s="8">
        <v>9</v>
      </c>
      <c r="W262" s="11">
        <f>SUM(Table78111723293541445059[[#This Row],[Bus ]:[Wheelchair]])</f>
        <v>509</v>
      </c>
    </row>
    <row r="263" spans="2:23" ht="19.2" x14ac:dyDescent="0.45">
      <c r="B263" s="8" t="s">
        <v>13</v>
      </c>
      <c r="C263" s="8" t="s">
        <v>28</v>
      </c>
      <c r="D263" s="8">
        <v>1</v>
      </c>
      <c r="E263" s="8">
        <v>365</v>
      </c>
      <c r="F263" s="8">
        <v>211</v>
      </c>
      <c r="G263" s="8">
        <v>3</v>
      </c>
      <c r="H263" s="8">
        <v>0</v>
      </c>
      <c r="I263" s="8">
        <v>6</v>
      </c>
      <c r="J263" s="8">
        <v>19</v>
      </c>
      <c r="K263" s="11">
        <f>SUM(Table67101622283440434958[[#This Row],[Bus ]:[Wheelchair]])</f>
        <v>605</v>
      </c>
      <c r="L263" s="1"/>
      <c r="M263" s="1"/>
      <c r="N263" s="8" t="s">
        <v>14</v>
      </c>
      <c r="O263" s="8" t="s">
        <v>28</v>
      </c>
      <c r="P263" s="8">
        <v>0</v>
      </c>
      <c r="Q263" s="8">
        <v>80</v>
      </c>
      <c r="R263" s="8">
        <v>7</v>
      </c>
      <c r="S263" s="8">
        <v>0</v>
      </c>
      <c r="T263" s="8">
        <v>0</v>
      </c>
      <c r="U263" s="8">
        <v>0</v>
      </c>
      <c r="V263" s="8">
        <v>1</v>
      </c>
      <c r="W263" s="11">
        <f>SUM(Table78111723293541445059[[#This Row],[Bus ]:[Wheelchair]])</f>
        <v>88</v>
      </c>
    </row>
    <row r="264" spans="2:23" ht="19.2" x14ac:dyDescent="0.45">
      <c r="B264" s="8" t="s">
        <v>14</v>
      </c>
      <c r="C264" s="8" t="s">
        <v>28</v>
      </c>
      <c r="D264" s="8">
        <v>0</v>
      </c>
      <c r="E264" s="8">
        <v>45</v>
      </c>
      <c r="F264" s="8">
        <v>7</v>
      </c>
      <c r="G264" s="8">
        <v>0</v>
      </c>
      <c r="H264" s="8">
        <v>0</v>
      </c>
      <c r="I264" s="8">
        <v>0</v>
      </c>
      <c r="J264" s="8">
        <v>1</v>
      </c>
      <c r="K264" s="11">
        <f>SUM(Table67101622283440434958[[#This Row],[Bus ]:[Wheelchair]])</f>
        <v>53</v>
      </c>
      <c r="L264" s="1"/>
      <c r="M264" s="1"/>
      <c r="N264" s="8" t="s">
        <v>15</v>
      </c>
      <c r="O264" s="8" t="s">
        <v>28</v>
      </c>
      <c r="P264" s="8">
        <v>50</v>
      </c>
      <c r="Q264" s="8">
        <v>661</v>
      </c>
      <c r="R264" s="8">
        <v>328</v>
      </c>
      <c r="S264" s="8">
        <v>8</v>
      </c>
      <c r="T264" s="8">
        <v>6</v>
      </c>
      <c r="U264" s="8">
        <v>19</v>
      </c>
      <c r="V264" s="8">
        <v>103</v>
      </c>
      <c r="W264" s="11">
        <f>SUM(Table78111723293541445059[[#This Row],[Bus ]:[Wheelchair]])</f>
        <v>1175</v>
      </c>
    </row>
    <row r="265" spans="2:23" ht="19.2" x14ac:dyDescent="0.45">
      <c r="B265" s="8" t="s">
        <v>15</v>
      </c>
      <c r="C265" s="8" t="s">
        <v>28</v>
      </c>
      <c r="D265" s="8">
        <v>344</v>
      </c>
      <c r="E265" s="8">
        <v>692</v>
      </c>
      <c r="F265" s="8">
        <v>369</v>
      </c>
      <c r="G265" s="8">
        <v>11</v>
      </c>
      <c r="H265" s="8">
        <v>4</v>
      </c>
      <c r="I265" s="8">
        <v>23</v>
      </c>
      <c r="J265" s="8">
        <v>37</v>
      </c>
      <c r="K265" s="11">
        <f>SUM(Table67101622283440434958[[#This Row],[Bus ]:[Wheelchair]])</f>
        <v>1480</v>
      </c>
      <c r="L265" s="1"/>
      <c r="M265" s="1"/>
      <c r="N265" s="8" t="s">
        <v>16</v>
      </c>
      <c r="O265" s="8" t="s">
        <v>28</v>
      </c>
      <c r="P265" s="8">
        <v>0</v>
      </c>
      <c r="Q265" s="8">
        <v>28</v>
      </c>
      <c r="R265" s="8">
        <v>66</v>
      </c>
      <c r="S265" s="8">
        <v>0</v>
      </c>
      <c r="T265" s="8">
        <v>0</v>
      </c>
      <c r="U265" s="8">
        <v>0</v>
      </c>
      <c r="V265" s="8">
        <v>0</v>
      </c>
      <c r="W265" s="11">
        <f>SUM(Table78111723293541445059[[#This Row],[Bus ]:[Wheelchair]])</f>
        <v>94</v>
      </c>
    </row>
    <row r="266" spans="2:23" ht="19.2" x14ac:dyDescent="0.45">
      <c r="B266" s="8" t="s">
        <v>16</v>
      </c>
      <c r="C266" s="8" t="s">
        <v>28</v>
      </c>
      <c r="D266" s="8">
        <v>0</v>
      </c>
      <c r="E266" s="8">
        <v>10</v>
      </c>
      <c r="F266" s="8">
        <v>47</v>
      </c>
      <c r="G266" s="8">
        <v>1</v>
      </c>
      <c r="H266" s="8">
        <v>0</v>
      </c>
      <c r="I266" s="8">
        <v>0</v>
      </c>
      <c r="J266" s="8">
        <v>1</v>
      </c>
      <c r="K266" s="11">
        <f>SUM(Table67101622283440434958[[#This Row],[Bus ]:[Wheelchair]])</f>
        <v>59</v>
      </c>
      <c r="L266" s="1"/>
      <c r="M266" s="1"/>
      <c r="N266" s="8" t="s">
        <v>21</v>
      </c>
      <c r="O266" s="8" t="s">
        <v>28</v>
      </c>
      <c r="P266" s="8">
        <v>0</v>
      </c>
      <c r="Q266" s="8">
        <v>0</v>
      </c>
      <c r="R266" s="8">
        <v>1</v>
      </c>
      <c r="S266" s="8">
        <v>0</v>
      </c>
      <c r="T266" s="8">
        <v>0</v>
      </c>
      <c r="U266" s="8">
        <v>0</v>
      </c>
      <c r="V266" s="8">
        <v>0</v>
      </c>
      <c r="W266" s="11">
        <f>SUM(Table78111723293541445059[[#This Row],[Bus ]:[Wheelchair]])</f>
        <v>1</v>
      </c>
    </row>
    <row r="267" spans="2:23" ht="19.2" x14ac:dyDescent="0.45">
      <c r="B267" s="8" t="s">
        <v>17</v>
      </c>
      <c r="C267" s="8" t="s">
        <v>28</v>
      </c>
      <c r="D267" s="8">
        <v>0</v>
      </c>
      <c r="E267" s="8">
        <v>8</v>
      </c>
      <c r="F267" s="8">
        <v>17</v>
      </c>
      <c r="G267" s="8">
        <v>0</v>
      </c>
      <c r="H267" s="8">
        <v>0</v>
      </c>
      <c r="I267" s="8">
        <v>0</v>
      </c>
      <c r="J267" s="8">
        <v>0</v>
      </c>
      <c r="K267" s="11">
        <f>SUM(Table67101622283440434958[[#This Row],[Bus ]:[Wheelchair]])</f>
        <v>25</v>
      </c>
      <c r="L267" s="1"/>
      <c r="M267" s="1"/>
      <c r="N267" s="8" t="s">
        <v>17</v>
      </c>
      <c r="O267" s="8" t="s">
        <v>28</v>
      </c>
      <c r="P267" s="8">
        <v>0</v>
      </c>
      <c r="Q267" s="8">
        <v>7</v>
      </c>
      <c r="R267" s="8">
        <v>15</v>
      </c>
      <c r="S267" s="8">
        <v>0</v>
      </c>
      <c r="T267" s="8">
        <v>0</v>
      </c>
      <c r="U267" s="8">
        <v>0</v>
      </c>
      <c r="V267" s="8">
        <v>0</v>
      </c>
      <c r="W267" s="11">
        <f>SUM(Table78111723293541445059[[#This Row],[Bus ]:[Wheelchair]])</f>
        <v>22</v>
      </c>
    </row>
    <row r="268" spans="2:23" ht="19.2" x14ac:dyDescent="0.45">
      <c r="B268" s="8" t="s">
        <v>18</v>
      </c>
      <c r="C268" s="8" t="s">
        <v>29</v>
      </c>
      <c r="D268" s="8">
        <v>51055</v>
      </c>
      <c r="E268" s="8">
        <v>11934</v>
      </c>
      <c r="F268" s="8">
        <v>5794</v>
      </c>
      <c r="G268" s="8">
        <v>47682</v>
      </c>
      <c r="H268" s="8">
        <v>664</v>
      </c>
      <c r="I268" s="8">
        <v>3031</v>
      </c>
      <c r="J268" s="8">
        <v>1383</v>
      </c>
      <c r="K268" s="11">
        <f>SUM(Table67101622283440434958[[#This Row],[Bus ]:[Wheelchair]])</f>
        <v>121543</v>
      </c>
      <c r="L268" s="1"/>
      <c r="M268" s="1"/>
      <c r="N268" s="8" t="s">
        <v>18</v>
      </c>
      <c r="O268" s="8" t="s">
        <v>29</v>
      </c>
      <c r="P268" s="8">
        <v>52497</v>
      </c>
      <c r="Q268" s="8">
        <v>13887</v>
      </c>
      <c r="R268" s="8">
        <v>4790</v>
      </c>
      <c r="S268" s="8">
        <v>54858</v>
      </c>
      <c r="T268" s="8">
        <v>544</v>
      </c>
      <c r="U268" s="8">
        <v>530</v>
      </c>
      <c r="V268" s="8">
        <v>1359</v>
      </c>
      <c r="W268" s="11">
        <f>SUM(Table78111723293541445059[[#This Row],[Bus ]:[Wheelchair]])</f>
        <v>128465</v>
      </c>
    </row>
    <row r="269" spans="2:23" ht="19.2" x14ac:dyDescent="0.45">
      <c r="B269" s="8" t="s">
        <v>19</v>
      </c>
      <c r="C269" s="8" t="s">
        <v>29</v>
      </c>
      <c r="D269" s="8">
        <v>692</v>
      </c>
      <c r="E269" s="8">
        <v>4344</v>
      </c>
      <c r="F269" s="8">
        <v>842</v>
      </c>
      <c r="G269" s="8">
        <v>3749</v>
      </c>
      <c r="H269" s="8">
        <v>71</v>
      </c>
      <c r="I269" s="8">
        <v>197</v>
      </c>
      <c r="J269" s="8">
        <v>434</v>
      </c>
      <c r="K269" s="11">
        <f>SUM(Table67101622283440434958[[#This Row],[Bus ]:[Wheelchair]])</f>
        <v>10329</v>
      </c>
      <c r="L269" s="1"/>
      <c r="M269" s="1"/>
      <c r="N269" s="8" t="s">
        <v>19</v>
      </c>
      <c r="O269" s="8" t="s">
        <v>29</v>
      </c>
      <c r="P269" s="8">
        <v>626</v>
      </c>
      <c r="Q269" s="8">
        <v>4539</v>
      </c>
      <c r="R269" s="8">
        <v>887</v>
      </c>
      <c r="S269" s="8">
        <v>3228</v>
      </c>
      <c r="T269" s="8">
        <v>83</v>
      </c>
      <c r="U269" s="8">
        <v>77</v>
      </c>
      <c r="V269" s="8">
        <v>163</v>
      </c>
      <c r="W269" s="1">
        <f>SUM(Table78111723293541445059[[#This Row],[Bus ]:[Wheelchair]])</f>
        <v>9603</v>
      </c>
    </row>
    <row r="270" spans="2:23" ht="19.2" x14ac:dyDescent="0.45">
      <c r="B270" s="19" t="s">
        <v>20</v>
      </c>
      <c r="C270" s="19"/>
      <c r="D270" s="19">
        <f>SUBTOTAL(109,Table67101622283440434958[[Bus ]])</f>
        <v>52174</v>
      </c>
      <c r="E270" s="19">
        <f>SUBTOTAL(109,Table67101622283440434958[Cab])</f>
        <v>19010</v>
      </c>
      <c r="F270" s="19">
        <f>SUBTOTAL(109,Table67101622283440434958[GMR])</f>
        <v>7954</v>
      </c>
      <c r="G270" s="19">
        <f>SUBTOTAL(109,Table67101622283440434958[Public Entity])</f>
        <v>52936</v>
      </c>
      <c r="H270" s="19">
        <f>SUBTOTAL(109,Table67101622283440434958[Stretcher])</f>
        <v>739</v>
      </c>
      <c r="I270" s="19">
        <f>SUBTOTAL(109,Table67101622283440434958[TNC Vendor])</f>
        <v>3315</v>
      </c>
      <c r="J270" s="19">
        <f>SUBTOTAL(109,Table67101622283440434958[Wheelchair])</f>
        <v>1936</v>
      </c>
      <c r="K270" s="19">
        <f>SUBTOTAL(109,Table67101622283440434958[Total])</f>
        <v>138064</v>
      </c>
      <c r="L270" s="1"/>
      <c r="M270" s="1"/>
      <c r="N270" s="20" t="s">
        <v>20</v>
      </c>
      <c r="O270" s="20"/>
      <c r="P270" s="20">
        <f>SUBTOTAL(109,Table78111723293541445059[[Bus ]])</f>
        <v>53204</v>
      </c>
      <c r="Q270" s="20">
        <f>SUBTOTAL(109,Table78111723293541445059[Cab])</f>
        <v>21092</v>
      </c>
      <c r="R270" s="20">
        <f>SUBTOTAL(109,Table78111723293541445059[GMR])</f>
        <v>6826</v>
      </c>
      <c r="S270" s="20">
        <f>SUBTOTAL(109,Table78111723293541445059[Public Entity])</f>
        <v>59671</v>
      </c>
      <c r="T270" s="20">
        <f>SUBTOTAL(109,Table78111723293541445059[Stretcher])</f>
        <v>633</v>
      </c>
      <c r="U270" s="20">
        <f>SUBTOTAL(109,Table78111723293541445059[TNC Vendor])</f>
        <v>643</v>
      </c>
      <c r="V270" s="20">
        <f>SUBTOTAL(109,Table78111723293541445059[Wheelchair])</f>
        <v>1738</v>
      </c>
      <c r="W270" s="20">
        <f>SUBTOTAL(109,Table78111723293541445059[Total])</f>
        <v>143807</v>
      </c>
    </row>
    <row r="271" spans="2:23" ht="19.2" x14ac:dyDescent="0.45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2:23" ht="19.2" x14ac:dyDescent="0.45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2:23" ht="19.2" x14ac:dyDescent="0.45">
      <c r="B273" s="34">
        <v>45627</v>
      </c>
      <c r="C273" s="34"/>
      <c r="D273" s="34"/>
      <c r="E273" s="35" t="s">
        <v>22</v>
      </c>
      <c r="F273" s="35"/>
      <c r="G273" s="35"/>
      <c r="H273" s="35"/>
      <c r="I273" s="35"/>
      <c r="J273" s="35"/>
      <c r="K273" s="35"/>
      <c r="L273" s="1"/>
      <c r="M273" s="1"/>
      <c r="N273" s="36">
        <v>45992</v>
      </c>
      <c r="O273" s="36"/>
      <c r="P273" s="36"/>
      <c r="Q273" s="37" t="s">
        <v>22</v>
      </c>
      <c r="R273" s="37"/>
      <c r="S273" s="37"/>
      <c r="T273" s="37"/>
      <c r="U273" s="37"/>
      <c r="V273" s="37"/>
      <c r="W273" s="37"/>
    </row>
    <row r="274" spans="2:23" ht="19.2" x14ac:dyDescent="0.45">
      <c r="B274" s="34"/>
      <c r="C274" s="34"/>
      <c r="D274" s="34"/>
      <c r="E274" s="35"/>
      <c r="F274" s="35"/>
      <c r="G274" s="35"/>
      <c r="H274" s="35"/>
      <c r="I274" s="35"/>
      <c r="J274" s="35"/>
      <c r="K274" s="35"/>
      <c r="L274" s="1"/>
      <c r="M274" s="1"/>
      <c r="N274" s="36"/>
      <c r="O274" s="36"/>
      <c r="P274" s="36"/>
      <c r="Q274" s="37"/>
      <c r="R274" s="37"/>
      <c r="S274" s="37"/>
      <c r="T274" s="37"/>
      <c r="U274" s="37"/>
      <c r="V274" s="37"/>
      <c r="W274" s="37"/>
    </row>
    <row r="275" spans="2:23" s="26" customFormat="1" ht="20.399999999999999" x14ac:dyDescent="0.45">
      <c r="B275" s="13" t="s">
        <v>23</v>
      </c>
      <c r="C275" s="13" t="s">
        <v>24</v>
      </c>
      <c r="D275" s="13" t="s">
        <v>25</v>
      </c>
      <c r="E275" s="13" t="s">
        <v>0</v>
      </c>
      <c r="F275" s="13" t="s">
        <v>26</v>
      </c>
      <c r="G275" s="13" t="s">
        <v>27</v>
      </c>
      <c r="H275" s="13" t="s">
        <v>1</v>
      </c>
      <c r="I275" s="13" t="s">
        <v>2</v>
      </c>
      <c r="J275" s="13" t="s">
        <v>3</v>
      </c>
      <c r="K275" s="13" t="s">
        <v>20</v>
      </c>
      <c r="L275" s="24"/>
      <c r="M275" s="24"/>
      <c r="N275" s="13" t="s">
        <v>23</v>
      </c>
      <c r="O275" s="13" t="s">
        <v>24</v>
      </c>
      <c r="P275" s="13" t="s">
        <v>25</v>
      </c>
      <c r="Q275" s="13" t="s">
        <v>0</v>
      </c>
      <c r="R275" s="13" t="s">
        <v>26</v>
      </c>
      <c r="S275" s="13" t="s">
        <v>27</v>
      </c>
      <c r="T275" s="13" t="s">
        <v>1</v>
      </c>
      <c r="U275" s="13" t="s">
        <v>2</v>
      </c>
      <c r="V275" s="13" t="s">
        <v>3</v>
      </c>
      <c r="W275" s="13" t="s">
        <v>20</v>
      </c>
    </row>
    <row r="276" spans="2:23" ht="19.2" x14ac:dyDescent="0.45">
      <c r="B276" s="8" t="s">
        <v>4</v>
      </c>
      <c r="C276" s="8" t="s">
        <v>28</v>
      </c>
      <c r="D276" s="8">
        <v>8</v>
      </c>
      <c r="E276" s="8">
        <v>801</v>
      </c>
      <c r="F276" s="8">
        <v>118</v>
      </c>
      <c r="G276" s="8">
        <v>591</v>
      </c>
      <c r="H276" s="8">
        <v>0</v>
      </c>
      <c r="I276" s="8">
        <v>17</v>
      </c>
      <c r="J276" s="8">
        <v>70</v>
      </c>
      <c r="K276" s="11">
        <f>SUM(Table6710162228344043495861[[#This Row],[Bus ]:[Wheelchair]])</f>
        <v>1605</v>
      </c>
      <c r="L276" s="1"/>
      <c r="M276" s="1"/>
      <c r="N276" s="8" t="s">
        <v>4</v>
      </c>
      <c r="O276" s="8" t="s">
        <v>28</v>
      </c>
      <c r="P276" s="8">
        <v>6</v>
      </c>
      <c r="Q276" s="8">
        <v>710</v>
      </c>
      <c r="R276" s="8">
        <v>113</v>
      </c>
      <c r="S276" s="8">
        <v>744</v>
      </c>
      <c r="T276" s="8">
        <v>1</v>
      </c>
      <c r="U276" s="8">
        <v>6</v>
      </c>
      <c r="V276" s="8">
        <v>94</v>
      </c>
      <c r="W276" s="11">
        <f>SUM(Table7811172329354144505962[[#This Row],[Bus ]:[Wheelchair]])</f>
        <v>1674</v>
      </c>
    </row>
    <row r="277" spans="2:23" ht="19.2" x14ac:dyDescent="0.45">
      <c r="B277" s="8" t="s">
        <v>5</v>
      </c>
      <c r="C277" s="8" t="s">
        <v>28</v>
      </c>
      <c r="D277" s="8">
        <v>0</v>
      </c>
      <c r="E277" s="8">
        <v>474</v>
      </c>
      <c r="F277" s="8">
        <v>155</v>
      </c>
      <c r="G277" s="8">
        <v>2</v>
      </c>
      <c r="H277" s="8">
        <v>0</v>
      </c>
      <c r="I277" s="8">
        <v>28</v>
      </c>
      <c r="J277" s="8">
        <v>1</v>
      </c>
      <c r="K277" s="11">
        <f>SUM(Table6710162228344043495861[[#This Row],[Bus ]:[Wheelchair]])</f>
        <v>660</v>
      </c>
      <c r="L277" s="1"/>
      <c r="M277" s="1"/>
      <c r="N277" s="8" t="s">
        <v>5</v>
      </c>
      <c r="O277" s="8" t="s">
        <v>28</v>
      </c>
      <c r="P277" s="8">
        <v>0</v>
      </c>
      <c r="Q277" s="8">
        <v>304</v>
      </c>
      <c r="R277" s="8">
        <v>116</v>
      </c>
      <c r="S277" s="8">
        <v>0</v>
      </c>
      <c r="T277" s="8">
        <v>0</v>
      </c>
      <c r="U277" s="8">
        <v>6</v>
      </c>
      <c r="V277" s="8">
        <v>8</v>
      </c>
      <c r="W277" s="11">
        <f>SUM(Table7811172329354144505962[[#This Row],[Bus ]:[Wheelchair]])</f>
        <v>434</v>
      </c>
    </row>
    <row r="278" spans="2:23" ht="19.2" x14ac:dyDescent="0.45">
      <c r="B278" s="8" t="s">
        <v>6</v>
      </c>
      <c r="C278" s="8" t="s">
        <v>28</v>
      </c>
      <c r="D278" s="8">
        <v>0</v>
      </c>
      <c r="E278" s="8">
        <v>317</v>
      </c>
      <c r="F278" s="8">
        <v>67</v>
      </c>
      <c r="G278" s="8">
        <v>0</v>
      </c>
      <c r="H278" s="8">
        <v>0</v>
      </c>
      <c r="I278" s="8">
        <v>1</v>
      </c>
      <c r="J278" s="8">
        <v>11</v>
      </c>
      <c r="K278" s="11">
        <f>SUM(Table6710162228344043495861[[#This Row],[Bus ]:[Wheelchair]])</f>
        <v>396</v>
      </c>
      <c r="L278" s="1"/>
      <c r="M278" s="1"/>
      <c r="N278" s="8" t="s">
        <v>6</v>
      </c>
      <c r="O278" s="8" t="s">
        <v>28</v>
      </c>
      <c r="P278" s="8">
        <v>1</v>
      </c>
      <c r="Q278" s="8">
        <v>354</v>
      </c>
      <c r="R278" s="8">
        <v>102</v>
      </c>
      <c r="S278" s="8">
        <v>1</v>
      </c>
      <c r="T278" s="8">
        <v>0</v>
      </c>
      <c r="U278" s="8">
        <v>4</v>
      </c>
      <c r="V278" s="8">
        <v>6</v>
      </c>
      <c r="W278" s="11">
        <f>SUM(Table7811172329354144505962[[#This Row],[Bus ]:[Wheelchair]])</f>
        <v>468</v>
      </c>
    </row>
    <row r="279" spans="2:23" ht="19.2" x14ac:dyDescent="0.45">
      <c r="B279" s="8" t="s">
        <v>7</v>
      </c>
      <c r="C279" s="8" t="s">
        <v>28</v>
      </c>
      <c r="D279" s="8">
        <v>0</v>
      </c>
      <c r="E279" s="8">
        <v>139</v>
      </c>
      <c r="F279" s="8">
        <v>190</v>
      </c>
      <c r="G279" s="8">
        <v>1057</v>
      </c>
      <c r="H279" s="8">
        <v>0</v>
      </c>
      <c r="I279" s="8">
        <v>5</v>
      </c>
      <c r="J279" s="8">
        <v>0</v>
      </c>
      <c r="K279" s="11">
        <f>SUM(Table6710162228344043495861[[#This Row],[Bus ]:[Wheelchair]])</f>
        <v>1391</v>
      </c>
      <c r="L279" s="1"/>
      <c r="M279" s="1"/>
      <c r="N279" s="8" t="s">
        <v>7</v>
      </c>
      <c r="O279" s="8" t="s">
        <v>28</v>
      </c>
      <c r="P279" s="8">
        <v>0</v>
      </c>
      <c r="Q279" s="8">
        <v>71</v>
      </c>
      <c r="R279" s="8">
        <v>151</v>
      </c>
      <c r="S279" s="8">
        <v>1000</v>
      </c>
      <c r="T279" s="8">
        <v>0</v>
      </c>
      <c r="U279" s="8">
        <v>2</v>
      </c>
      <c r="V279" s="8">
        <v>1</v>
      </c>
      <c r="W279" s="11">
        <f>SUM(Table7811172329354144505962[[#This Row],[Bus ]:[Wheelchair]])</f>
        <v>1225</v>
      </c>
    </row>
    <row r="280" spans="2:23" ht="19.2" x14ac:dyDescent="0.45">
      <c r="B280" s="8" t="s">
        <v>8</v>
      </c>
      <c r="C280" s="8" t="s">
        <v>28</v>
      </c>
      <c r="D280" s="8">
        <v>0</v>
      </c>
      <c r="E280" s="8">
        <v>15</v>
      </c>
      <c r="F280" s="8">
        <v>0</v>
      </c>
      <c r="G280" s="8">
        <v>0</v>
      </c>
      <c r="H280" s="8">
        <v>0</v>
      </c>
      <c r="I280" s="8">
        <v>0</v>
      </c>
      <c r="J280" s="8">
        <v>1</v>
      </c>
      <c r="K280" s="11">
        <f>SUM(Table6710162228344043495861[[#This Row],[Bus ]:[Wheelchair]])</f>
        <v>16</v>
      </c>
      <c r="L280" s="1"/>
      <c r="M280" s="1"/>
      <c r="N280" s="8" t="s">
        <v>9</v>
      </c>
      <c r="O280" s="8" t="s">
        <v>28</v>
      </c>
      <c r="P280" s="8">
        <v>0</v>
      </c>
      <c r="Q280" s="8">
        <v>4</v>
      </c>
      <c r="R280" s="8">
        <v>8</v>
      </c>
      <c r="S280" s="8">
        <v>0</v>
      </c>
      <c r="T280" s="8">
        <v>0</v>
      </c>
      <c r="U280" s="8">
        <v>0</v>
      </c>
      <c r="V280" s="8">
        <v>0</v>
      </c>
      <c r="W280" s="11">
        <f>SUM(Table7811172329354144505962[[#This Row],[Bus ]:[Wheelchair]])</f>
        <v>12</v>
      </c>
    </row>
    <row r="281" spans="2:23" ht="19.2" x14ac:dyDescent="0.45">
      <c r="B281" s="8" t="s">
        <v>9</v>
      </c>
      <c r="C281" s="8" t="s">
        <v>28</v>
      </c>
      <c r="D281" s="8">
        <v>0</v>
      </c>
      <c r="E281" s="8">
        <v>2</v>
      </c>
      <c r="F281" s="8">
        <v>4</v>
      </c>
      <c r="G281" s="8">
        <v>0</v>
      </c>
      <c r="H281" s="8">
        <v>0</v>
      </c>
      <c r="I281" s="8">
        <v>0</v>
      </c>
      <c r="J281" s="8">
        <v>0</v>
      </c>
      <c r="K281" s="11">
        <f>SUM(Table6710162228344043495861[[#This Row],[Bus ]:[Wheelchair]])</f>
        <v>6</v>
      </c>
      <c r="L281" s="1"/>
      <c r="M281" s="1"/>
      <c r="N281" s="8" t="s">
        <v>10</v>
      </c>
      <c r="O281" s="8" t="s">
        <v>28</v>
      </c>
      <c r="P281" s="8">
        <v>0</v>
      </c>
      <c r="Q281" s="8">
        <v>10</v>
      </c>
      <c r="R281" s="8">
        <v>30</v>
      </c>
      <c r="S281" s="8">
        <v>0</v>
      </c>
      <c r="T281" s="8">
        <v>0</v>
      </c>
      <c r="U281" s="8">
        <v>0</v>
      </c>
      <c r="V281" s="8">
        <v>0</v>
      </c>
      <c r="W281" s="11">
        <f>SUM(Table7811172329354144505962[[#This Row],[Bus ]:[Wheelchair]])</f>
        <v>40</v>
      </c>
    </row>
    <row r="282" spans="2:23" ht="19.2" x14ac:dyDescent="0.45">
      <c r="B282" s="8" t="s">
        <v>10</v>
      </c>
      <c r="C282" s="8" t="s">
        <v>28</v>
      </c>
      <c r="D282" s="8">
        <v>0</v>
      </c>
      <c r="E282" s="8">
        <v>40</v>
      </c>
      <c r="F282" s="8">
        <v>55</v>
      </c>
      <c r="G282" s="8">
        <v>0</v>
      </c>
      <c r="H282" s="8">
        <v>0</v>
      </c>
      <c r="I282" s="8">
        <v>0</v>
      </c>
      <c r="J282" s="8">
        <v>2</v>
      </c>
      <c r="K282" s="11">
        <f>SUM(Table6710162228344043495861[[#This Row],[Bus ]:[Wheelchair]])</f>
        <v>97</v>
      </c>
      <c r="L282" s="1"/>
      <c r="M282" s="1"/>
      <c r="N282" s="8" t="s">
        <v>11</v>
      </c>
      <c r="O282" s="8" t="s">
        <v>28</v>
      </c>
      <c r="P282" s="8">
        <v>0</v>
      </c>
      <c r="Q282" s="8">
        <v>8</v>
      </c>
      <c r="R282" s="8">
        <v>7</v>
      </c>
      <c r="S282" s="8">
        <v>0</v>
      </c>
      <c r="T282" s="8">
        <v>0</v>
      </c>
      <c r="U282" s="8">
        <v>0</v>
      </c>
      <c r="V282" s="8">
        <v>0</v>
      </c>
      <c r="W282" s="11">
        <f>SUM(Table7811172329354144505962[[#This Row],[Bus ]:[Wheelchair]])</f>
        <v>15</v>
      </c>
    </row>
    <row r="283" spans="2:23" ht="19.2" x14ac:dyDescent="0.45">
      <c r="B283" s="8" t="s">
        <v>11</v>
      </c>
      <c r="C283" s="8" t="s">
        <v>28</v>
      </c>
      <c r="D283" s="8">
        <v>0</v>
      </c>
      <c r="E283" s="8">
        <v>41</v>
      </c>
      <c r="F283" s="8">
        <v>21</v>
      </c>
      <c r="G283" s="8">
        <v>0</v>
      </c>
      <c r="H283" s="8">
        <v>0</v>
      </c>
      <c r="I283" s="8">
        <v>0</v>
      </c>
      <c r="J283" s="8">
        <v>0</v>
      </c>
      <c r="K283" s="11">
        <f>SUM(Table6710162228344043495861[[#This Row],[Bus ]:[Wheelchair]])</f>
        <v>62</v>
      </c>
      <c r="L283" s="1"/>
      <c r="M283" s="1"/>
      <c r="N283" s="8" t="s">
        <v>12</v>
      </c>
      <c r="O283" s="8" t="s">
        <v>28</v>
      </c>
      <c r="P283" s="8">
        <v>1</v>
      </c>
      <c r="Q283" s="8">
        <v>8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11">
        <f>SUM(Table7811172329354144505962[[#This Row],[Bus ]:[Wheelchair]])</f>
        <v>9</v>
      </c>
    </row>
    <row r="284" spans="2:23" ht="19.2" x14ac:dyDescent="0.45">
      <c r="B284" s="8" t="s">
        <v>12</v>
      </c>
      <c r="C284" s="8" t="s">
        <v>28</v>
      </c>
      <c r="D284" s="8">
        <v>0</v>
      </c>
      <c r="E284" s="8">
        <v>5</v>
      </c>
      <c r="F284" s="8">
        <v>4</v>
      </c>
      <c r="G284" s="8">
        <v>0</v>
      </c>
      <c r="H284" s="8">
        <v>0</v>
      </c>
      <c r="I284" s="8">
        <v>0</v>
      </c>
      <c r="J284" s="8">
        <v>0</v>
      </c>
      <c r="K284" s="11">
        <f>SUM(Table6710162228344043495861[[#This Row],[Bus ]:[Wheelchair]])</f>
        <v>9</v>
      </c>
      <c r="L284" s="1"/>
      <c r="M284" s="1"/>
      <c r="N284" s="8" t="s">
        <v>13</v>
      </c>
      <c r="O284" s="8" t="s">
        <v>28</v>
      </c>
      <c r="P284" s="8">
        <v>0</v>
      </c>
      <c r="Q284" s="8">
        <v>388</v>
      </c>
      <c r="R284" s="8">
        <v>160</v>
      </c>
      <c r="S284" s="8">
        <v>0</v>
      </c>
      <c r="T284" s="8">
        <v>0</v>
      </c>
      <c r="U284" s="8">
        <v>8</v>
      </c>
      <c r="V284" s="8">
        <v>10</v>
      </c>
      <c r="W284" s="11">
        <f>SUM(Table7811172329354144505962[[#This Row],[Bus ]:[Wheelchair]])</f>
        <v>566</v>
      </c>
    </row>
    <row r="285" spans="2:23" ht="19.2" x14ac:dyDescent="0.45">
      <c r="B285" s="8" t="s">
        <v>13</v>
      </c>
      <c r="C285" s="8" t="s">
        <v>28</v>
      </c>
      <c r="D285" s="8">
        <v>0</v>
      </c>
      <c r="E285" s="8">
        <v>303</v>
      </c>
      <c r="F285" s="8">
        <v>209</v>
      </c>
      <c r="G285" s="8">
        <v>0</v>
      </c>
      <c r="H285" s="8">
        <v>0</v>
      </c>
      <c r="I285" s="8">
        <v>4</v>
      </c>
      <c r="J285" s="8">
        <v>4</v>
      </c>
      <c r="K285" s="11">
        <f>SUM(Table6710162228344043495861[[#This Row],[Bus ]:[Wheelchair]])</f>
        <v>520</v>
      </c>
      <c r="L285" s="1"/>
      <c r="M285" s="1"/>
      <c r="N285" s="8" t="s">
        <v>14</v>
      </c>
      <c r="O285" s="8" t="s">
        <v>28</v>
      </c>
      <c r="P285" s="8">
        <v>0</v>
      </c>
      <c r="Q285" s="8">
        <v>93</v>
      </c>
      <c r="R285" s="8">
        <v>20</v>
      </c>
      <c r="S285" s="8">
        <v>0</v>
      </c>
      <c r="T285" s="8">
        <v>0</v>
      </c>
      <c r="U285" s="8">
        <v>0</v>
      </c>
      <c r="V285" s="8">
        <v>2</v>
      </c>
      <c r="W285" s="11">
        <f>SUM(Table7811172329354144505962[[#This Row],[Bus ]:[Wheelchair]])</f>
        <v>115</v>
      </c>
    </row>
    <row r="286" spans="2:23" ht="19.2" x14ac:dyDescent="0.45">
      <c r="B286" s="8" t="s">
        <v>14</v>
      </c>
      <c r="C286" s="8" t="s">
        <v>28</v>
      </c>
      <c r="D286" s="8">
        <v>0</v>
      </c>
      <c r="E286" s="8">
        <v>52</v>
      </c>
      <c r="F286" s="8">
        <v>4</v>
      </c>
      <c r="G286" s="8">
        <v>0</v>
      </c>
      <c r="H286" s="8">
        <v>0</v>
      </c>
      <c r="I286" s="8">
        <v>0</v>
      </c>
      <c r="J286" s="8">
        <v>5</v>
      </c>
      <c r="K286" s="11">
        <f>SUM(Table6710162228344043495861[[#This Row],[Bus ]:[Wheelchair]])</f>
        <v>61</v>
      </c>
      <c r="L286" s="1"/>
      <c r="M286" s="1"/>
      <c r="N286" s="8" t="s">
        <v>15</v>
      </c>
      <c r="O286" s="8" t="s">
        <v>28</v>
      </c>
      <c r="P286" s="8">
        <v>17</v>
      </c>
      <c r="Q286" s="8">
        <v>631</v>
      </c>
      <c r="R286" s="8">
        <v>290</v>
      </c>
      <c r="S286" s="8">
        <v>6</v>
      </c>
      <c r="T286" s="8">
        <v>12</v>
      </c>
      <c r="U286" s="8">
        <v>29</v>
      </c>
      <c r="V286" s="8">
        <v>150</v>
      </c>
      <c r="W286" s="11">
        <f>SUM(Table7811172329354144505962[[#This Row],[Bus ]:[Wheelchair]])</f>
        <v>1135</v>
      </c>
    </row>
    <row r="287" spans="2:23" ht="19.2" x14ac:dyDescent="0.45">
      <c r="B287" s="8" t="s">
        <v>15</v>
      </c>
      <c r="C287" s="8" t="s">
        <v>28</v>
      </c>
      <c r="D287" s="8">
        <v>249</v>
      </c>
      <c r="E287" s="8">
        <v>723</v>
      </c>
      <c r="F287" s="8">
        <v>319</v>
      </c>
      <c r="G287" s="8">
        <v>15</v>
      </c>
      <c r="H287" s="8">
        <v>4</v>
      </c>
      <c r="I287" s="8">
        <v>48</v>
      </c>
      <c r="J287" s="8">
        <v>41</v>
      </c>
      <c r="K287" s="11">
        <f>SUM(Table6710162228344043495861[[#This Row],[Bus ]:[Wheelchair]])</f>
        <v>1399</v>
      </c>
      <c r="L287" s="1"/>
      <c r="M287" s="1"/>
      <c r="N287" s="8" t="s">
        <v>16</v>
      </c>
      <c r="O287" s="8" t="s">
        <v>28</v>
      </c>
      <c r="P287" s="8">
        <v>0</v>
      </c>
      <c r="Q287" s="8">
        <v>32</v>
      </c>
      <c r="R287" s="8">
        <v>70</v>
      </c>
      <c r="S287" s="8">
        <v>0</v>
      </c>
      <c r="T287" s="8">
        <v>0</v>
      </c>
      <c r="U287" s="8">
        <v>2</v>
      </c>
      <c r="V287" s="8">
        <v>3</v>
      </c>
      <c r="W287" s="11">
        <f>SUM(Table7811172329354144505962[[#This Row],[Bus ]:[Wheelchair]])</f>
        <v>107</v>
      </c>
    </row>
    <row r="288" spans="2:23" ht="19.2" x14ac:dyDescent="0.45">
      <c r="B288" s="8" t="s">
        <v>16</v>
      </c>
      <c r="C288" s="8" t="s">
        <v>28</v>
      </c>
      <c r="D288" s="8">
        <v>0</v>
      </c>
      <c r="E288" s="8">
        <v>27</v>
      </c>
      <c r="F288" s="8">
        <v>77</v>
      </c>
      <c r="G288" s="8">
        <v>0</v>
      </c>
      <c r="H288" s="8">
        <v>0</v>
      </c>
      <c r="I288" s="8">
        <v>0</v>
      </c>
      <c r="J288" s="8">
        <v>1</v>
      </c>
      <c r="K288" s="11">
        <f>SUM(Table6710162228344043495861[[#This Row],[Bus ]:[Wheelchair]])</f>
        <v>105</v>
      </c>
      <c r="L288" s="1"/>
      <c r="M288" s="1"/>
      <c r="N288" s="8" t="s">
        <v>21</v>
      </c>
      <c r="O288" s="8" t="s">
        <v>28</v>
      </c>
      <c r="P288" s="8">
        <v>0</v>
      </c>
      <c r="Q288" s="8">
        <v>0</v>
      </c>
      <c r="R288" s="8">
        <v>1</v>
      </c>
      <c r="S288" s="8">
        <v>0</v>
      </c>
      <c r="T288" s="8">
        <v>0</v>
      </c>
      <c r="U288" s="8">
        <v>0</v>
      </c>
      <c r="V288" s="8">
        <v>0</v>
      </c>
      <c r="W288" s="11">
        <f>SUM(Table7811172329354144505962[[#This Row],[Bus ]:[Wheelchair]])</f>
        <v>1</v>
      </c>
    </row>
    <row r="289" spans="2:23" ht="19.2" x14ac:dyDescent="0.45">
      <c r="B289" s="8" t="s">
        <v>21</v>
      </c>
      <c r="C289" s="8" t="s">
        <v>28</v>
      </c>
      <c r="D289" s="8">
        <v>0</v>
      </c>
      <c r="E289" s="8">
        <v>0</v>
      </c>
      <c r="F289" s="8">
        <v>1</v>
      </c>
      <c r="G289" s="8">
        <v>0</v>
      </c>
      <c r="H289" s="8">
        <v>0</v>
      </c>
      <c r="I289" s="8">
        <v>0</v>
      </c>
      <c r="J289" s="8">
        <v>0</v>
      </c>
      <c r="K289" s="11">
        <f>SUM(Table6710162228344043495861[[#This Row],[Bus ]:[Wheelchair]])</f>
        <v>1</v>
      </c>
      <c r="L289" s="1"/>
      <c r="M289" s="1"/>
      <c r="N289" s="8" t="s">
        <v>17</v>
      </c>
      <c r="O289" s="8" t="s">
        <v>28</v>
      </c>
      <c r="P289" s="8">
        <v>0</v>
      </c>
      <c r="Q289" s="8">
        <v>7</v>
      </c>
      <c r="R289" s="8">
        <v>18</v>
      </c>
      <c r="S289" s="8">
        <v>0</v>
      </c>
      <c r="T289" s="8">
        <v>0</v>
      </c>
      <c r="U289" s="8">
        <v>0</v>
      </c>
      <c r="V289" s="8">
        <v>0</v>
      </c>
      <c r="W289" s="11">
        <f>SUM(Table7811172329354144505962[[#This Row],[Bus ]:[Wheelchair]])</f>
        <v>25</v>
      </c>
    </row>
    <row r="290" spans="2:23" ht="19.2" x14ac:dyDescent="0.45">
      <c r="B290" s="8" t="s">
        <v>17</v>
      </c>
      <c r="C290" s="8" t="s">
        <v>28</v>
      </c>
      <c r="D290" s="8">
        <v>0</v>
      </c>
      <c r="E290" s="8">
        <v>8</v>
      </c>
      <c r="F290" s="8">
        <v>26</v>
      </c>
      <c r="G290" s="8">
        <v>0</v>
      </c>
      <c r="H290" s="8">
        <v>0</v>
      </c>
      <c r="I290" s="8">
        <v>0</v>
      </c>
      <c r="J290" s="8">
        <v>0</v>
      </c>
      <c r="K290" s="11">
        <f>SUM(Table6710162228344043495861[[#This Row],[Bus ]:[Wheelchair]])</f>
        <v>34</v>
      </c>
      <c r="L290" s="1"/>
      <c r="M290" s="1"/>
      <c r="N290" s="8" t="s">
        <v>18</v>
      </c>
      <c r="O290" s="8" t="s">
        <v>29</v>
      </c>
      <c r="P290" s="8">
        <v>51532</v>
      </c>
      <c r="Q290" s="8">
        <v>13715</v>
      </c>
      <c r="R290" s="8">
        <v>4985</v>
      </c>
      <c r="S290" s="8">
        <v>60338</v>
      </c>
      <c r="T290" s="8">
        <v>483</v>
      </c>
      <c r="U290" s="8">
        <v>483</v>
      </c>
      <c r="V290" s="8">
        <v>1560</v>
      </c>
      <c r="W290" s="11">
        <f>SUM(Table7811172329354144505962[[#This Row],[Bus ]:[Wheelchair]])</f>
        <v>133096</v>
      </c>
    </row>
    <row r="291" spans="2:23" ht="19.2" x14ac:dyDescent="0.45">
      <c r="B291" s="8" t="s">
        <v>18</v>
      </c>
      <c r="C291" s="8" t="s">
        <v>29</v>
      </c>
      <c r="D291" s="8">
        <v>45991</v>
      </c>
      <c r="E291" s="8">
        <v>11263</v>
      </c>
      <c r="F291" s="8">
        <v>5243</v>
      </c>
      <c r="G291" s="8">
        <v>47952</v>
      </c>
      <c r="H291" s="8">
        <v>657</v>
      </c>
      <c r="I291" s="8">
        <v>2279</v>
      </c>
      <c r="J291" s="8">
        <v>1426</v>
      </c>
      <c r="K291" s="11">
        <f>SUM(Table6710162228344043495861[[#This Row],[Bus ]:[Wheelchair]])</f>
        <v>114811</v>
      </c>
      <c r="L291" s="1"/>
      <c r="M291" s="1"/>
      <c r="N291" s="8" t="s">
        <v>19</v>
      </c>
      <c r="O291" s="8" t="s">
        <v>29</v>
      </c>
      <c r="P291" s="8">
        <v>489</v>
      </c>
      <c r="Q291" s="8">
        <v>4861</v>
      </c>
      <c r="R291" s="8">
        <v>950</v>
      </c>
      <c r="S291" s="8">
        <v>4072</v>
      </c>
      <c r="T291" s="8">
        <v>94</v>
      </c>
      <c r="U291" s="8">
        <v>70</v>
      </c>
      <c r="V291" s="8">
        <v>167</v>
      </c>
      <c r="W291" s="1">
        <f>SUM(Table7811172329354144505962[[#This Row],[Bus ]:[Wheelchair]])</f>
        <v>10703</v>
      </c>
    </row>
    <row r="292" spans="2:23" ht="19.2" x14ac:dyDescent="0.45">
      <c r="B292" s="8" t="s">
        <v>19</v>
      </c>
      <c r="C292" s="8" t="s">
        <v>29</v>
      </c>
      <c r="D292" s="8">
        <v>708</v>
      </c>
      <c r="E292" s="8">
        <v>3934</v>
      </c>
      <c r="F292" s="8">
        <v>852</v>
      </c>
      <c r="G292" s="8">
        <v>3532</v>
      </c>
      <c r="H292" s="8">
        <v>105</v>
      </c>
      <c r="I292" s="8">
        <v>202</v>
      </c>
      <c r="J292" s="8">
        <v>439</v>
      </c>
      <c r="K292" s="1">
        <f>SUM(Table6710162228344043495861[[#This Row],[Bus ]:[Wheelchair]])</f>
        <v>9772</v>
      </c>
      <c r="L292" s="1"/>
      <c r="M292" s="1"/>
      <c r="N292" s="20" t="s">
        <v>20</v>
      </c>
      <c r="O292" s="20"/>
      <c r="P292" s="20">
        <f>SUBTOTAL(109,Table7811172329354144505962[[Bus ]])</f>
        <v>52046</v>
      </c>
      <c r="Q292" s="20">
        <f>SUBTOTAL(109,Table7811172329354144505962[Cab])</f>
        <v>21196</v>
      </c>
      <c r="R292" s="20">
        <f>SUBTOTAL(109,Table7811172329354144505962[GMR])</f>
        <v>7021</v>
      </c>
      <c r="S292" s="20">
        <f>SUBTOTAL(109,Table7811172329354144505962[Public Entity])</f>
        <v>66161</v>
      </c>
      <c r="T292" s="20">
        <f>SUBTOTAL(109,Table7811172329354144505962[Stretcher])</f>
        <v>590</v>
      </c>
      <c r="U292" s="20">
        <f>SUBTOTAL(109,Table7811172329354144505962[TNC Vendor])</f>
        <v>610</v>
      </c>
      <c r="V292" s="20">
        <f>SUBTOTAL(109,Table7811172329354144505962[Wheelchair])</f>
        <v>2001</v>
      </c>
      <c r="W292" s="20">
        <f>SUBTOTAL(109,Table7811172329354144505962[Total])</f>
        <v>149625</v>
      </c>
    </row>
    <row r="293" spans="2:23" ht="19.2" x14ac:dyDescent="0.45">
      <c r="B293" s="19" t="s">
        <v>20</v>
      </c>
      <c r="C293" s="19"/>
      <c r="D293" s="19">
        <f>SUBTOTAL(109,Table6710162228344043495861[[Bus ]])</f>
        <v>46956</v>
      </c>
      <c r="E293" s="19">
        <f>SUBTOTAL(109,Table6710162228344043495861[Cab])</f>
        <v>18144</v>
      </c>
      <c r="F293" s="19">
        <f>SUBTOTAL(109,Table6710162228344043495861[GMR])</f>
        <v>7345</v>
      </c>
      <c r="G293" s="19">
        <f>SUBTOTAL(109,Table6710162228344043495861[Public Entity])</f>
        <v>53149</v>
      </c>
      <c r="H293" s="19">
        <f>SUBTOTAL(109,Table6710162228344043495861[Stretcher])</f>
        <v>766</v>
      </c>
      <c r="I293" s="19">
        <f>SUBTOTAL(109,Table6710162228344043495861[TNC Vendor])</f>
        <v>2584</v>
      </c>
      <c r="J293" s="19">
        <f>SUBTOTAL(109,Table6710162228344043495861[Wheelchair])</f>
        <v>2001</v>
      </c>
      <c r="K293" s="19">
        <f>SUBTOTAL(109,Table6710162228344043495861[Total])</f>
        <v>130945</v>
      </c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</sheetData>
  <mergeCells count="48">
    <mergeCell ref="B251:D252"/>
    <mergeCell ref="E251:K252"/>
    <mergeCell ref="N251:P252"/>
    <mergeCell ref="Q251:W252"/>
    <mergeCell ref="B273:D274"/>
    <mergeCell ref="E273:K274"/>
    <mergeCell ref="N273:P274"/>
    <mergeCell ref="Q273:W274"/>
    <mergeCell ref="B204:D205"/>
    <mergeCell ref="E204:K205"/>
    <mergeCell ref="N204:P205"/>
    <mergeCell ref="Q204:W205"/>
    <mergeCell ref="B227:D228"/>
    <mergeCell ref="E227:K228"/>
    <mergeCell ref="N227:P228"/>
    <mergeCell ref="Q227:W228"/>
    <mergeCell ref="B158:D159"/>
    <mergeCell ref="E158:K159"/>
    <mergeCell ref="N158:P159"/>
    <mergeCell ref="Q158:W159"/>
    <mergeCell ref="B181:D182"/>
    <mergeCell ref="E181:K182"/>
    <mergeCell ref="N181:P182"/>
    <mergeCell ref="Q181:W182"/>
    <mergeCell ref="B111:D112"/>
    <mergeCell ref="E111:K112"/>
    <mergeCell ref="N111:P112"/>
    <mergeCell ref="Q111:W112"/>
    <mergeCell ref="B135:D136"/>
    <mergeCell ref="E135:K136"/>
    <mergeCell ref="N135:P136"/>
    <mergeCell ref="Q135:W136"/>
    <mergeCell ref="B63:D64"/>
    <mergeCell ref="E63:K64"/>
    <mergeCell ref="N63:P64"/>
    <mergeCell ref="Q63:W64"/>
    <mergeCell ref="B88:D89"/>
    <mergeCell ref="E88:K89"/>
    <mergeCell ref="N88:P89"/>
    <mergeCell ref="Q88:W89"/>
    <mergeCell ref="B18:D19"/>
    <mergeCell ref="E18:K19"/>
    <mergeCell ref="N18:P19"/>
    <mergeCell ref="Q18:W19"/>
    <mergeCell ref="B40:D41"/>
    <mergeCell ref="E40:K41"/>
    <mergeCell ref="N40:P41"/>
    <mergeCell ref="Q40:W41"/>
  </mergeCells>
  <conditionalFormatting sqref="B21:K38">
    <cfRule type="expression" dxfId="108" priority="47">
      <formula>$C21:$C36="Urban"</formula>
    </cfRule>
  </conditionalFormatting>
  <conditionalFormatting sqref="B40:K293">
    <cfRule type="expression" dxfId="107" priority="40">
      <formula>$C40:$C55="Urban"</formula>
    </cfRule>
  </conditionalFormatting>
  <conditionalFormatting sqref="B67:K67 B115:K115">
    <cfRule type="expression" dxfId="106" priority="41">
      <formula>$C67:$C84="Urban"</formula>
    </cfRule>
  </conditionalFormatting>
  <conditionalFormatting sqref="B139:K139">
    <cfRule type="expression" dxfId="105" priority="33">
      <formula>$C139:$C153="Urban"</formula>
    </cfRule>
  </conditionalFormatting>
  <conditionalFormatting sqref="B162:K162">
    <cfRule type="expression" dxfId="104" priority="28">
      <formula>$C162:$C178="Urban"</formula>
    </cfRule>
  </conditionalFormatting>
  <conditionalFormatting sqref="B162:K177">
    <cfRule type="expression" dxfId="103" priority="27">
      <formula>$C162:$C176="Urban"</formula>
    </cfRule>
  </conditionalFormatting>
  <conditionalFormatting sqref="B165:K176">
    <cfRule type="expression" dxfId="102" priority="30">
      <formula>$C165:$C177="Urban"</formula>
    </cfRule>
  </conditionalFormatting>
  <conditionalFormatting sqref="B185:K185">
    <cfRule type="expression" dxfId="101" priority="24">
      <formula>$C185:$C201="Urban"</formula>
    </cfRule>
  </conditionalFormatting>
  <conditionalFormatting sqref="B185:K200">
    <cfRule type="expression" dxfId="100" priority="23">
      <formula>$C185:$C199="Urban"</formula>
    </cfRule>
  </conditionalFormatting>
  <conditionalFormatting sqref="B188:K199">
    <cfRule type="expression" dxfId="99" priority="26">
      <formula>$C188:$C200="Urban"</formula>
    </cfRule>
  </conditionalFormatting>
  <conditionalFormatting sqref="B208:K208">
    <cfRule type="expression" dxfId="98" priority="17">
      <formula>$C208:$C224="Urban"</formula>
    </cfRule>
  </conditionalFormatting>
  <conditionalFormatting sqref="B208:K223">
    <cfRule type="expression" dxfId="97" priority="16">
      <formula>$C208:$C222="Urban"</formula>
    </cfRule>
  </conditionalFormatting>
  <conditionalFormatting sqref="B211:K222">
    <cfRule type="expression" dxfId="96" priority="18">
      <formula>$C211:$C223="Urban"</formula>
    </cfRule>
  </conditionalFormatting>
  <conditionalFormatting sqref="B231:K231">
    <cfRule type="expression" dxfId="95" priority="14">
      <formula>$C231:$C245="Urban"</formula>
    </cfRule>
  </conditionalFormatting>
  <conditionalFormatting sqref="B246:K246">
    <cfRule type="expression" dxfId="94" priority="15">
      <formula>$C246:$C261="Urban"</formula>
    </cfRule>
  </conditionalFormatting>
  <conditionalFormatting sqref="B251:K255">
    <cfRule type="expression" dxfId="93" priority="11">
      <formula>$C251:$C266="Urban"</formula>
    </cfRule>
  </conditionalFormatting>
  <conditionalFormatting sqref="B255:K256">
    <cfRule type="expression" dxfId="92" priority="9">
      <formula>$C255:$C269="Urban"</formula>
    </cfRule>
  </conditionalFormatting>
  <conditionalFormatting sqref="B256:K269">
    <cfRule type="expression" dxfId="91" priority="12">
      <formula>$C256:$C269="Urban"</formula>
    </cfRule>
  </conditionalFormatting>
  <conditionalFormatting sqref="B258:K269">
    <cfRule type="expression" dxfId="90" priority="13">
      <formula>$C258:$C269="Urban"</formula>
    </cfRule>
  </conditionalFormatting>
  <conditionalFormatting sqref="B270:K270">
    <cfRule type="expression" dxfId="89" priority="10">
      <formula>$C270:$C285="Urban"</formula>
    </cfRule>
  </conditionalFormatting>
  <conditionalFormatting sqref="N66">
    <cfRule type="expression" dxfId="88" priority="42">
      <formula>$O67:$O83="Urban"</formula>
    </cfRule>
  </conditionalFormatting>
  <conditionalFormatting sqref="N91">
    <cfRule type="expression" dxfId="87" priority="37">
      <formula>$O92:$O108="Urban"</formula>
    </cfRule>
  </conditionalFormatting>
  <conditionalFormatting sqref="N114 N184">
    <cfRule type="expression" dxfId="86" priority="43">
      <formula>$O115:$O130="Urban"</formula>
    </cfRule>
  </conditionalFormatting>
  <conditionalFormatting sqref="N138">
    <cfRule type="expression" dxfId="85" priority="45">
      <formula>$O139:$O153="Urban"</formula>
    </cfRule>
  </conditionalFormatting>
  <conditionalFormatting sqref="N161">
    <cfRule type="expression" dxfId="84" priority="32">
      <formula>$O162:$O176="Urban"</formula>
    </cfRule>
  </conditionalFormatting>
  <conditionalFormatting sqref="N207">
    <cfRule type="expression" dxfId="83" priority="21">
      <formula>$O208:$O223="Urban"</formula>
    </cfRule>
  </conditionalFormatting>
  <conditionalFormatting sqref="N21:W38 N68:W82 N93:W107 N270:W276 N292:W293">
    <cfRule type="expression" dxfId="82" priority="46">
      <formula>$O21:$O36="Urban"</formula>
    </cfRule>
  </conditionalFormatting>
  <conditionalFormatting sqref="N40:W254">
    <cfRule type="expression" dxfId="81" priority="39">
      <formula>$O40:$O55="Urban"</formula>
    </cfRule>
  </conditionalFormatting>
  <conditionalFormatting sqref="N66:W66">
    <cfRule type="expression" dxfId="80" priority="38">
      <formula>$O66:$O81="Urban"</formula>
    </cfRule>
  </conditionalFormatting>
  <conditionalFormatting sqref="N91:W91">
    <cfRule type="expression" dxfId="79" priority="35">
      <formula>$O91:$O106="Urban"</formula>
    </cfRule>
  </conditionalFormatting>
  <conditionalFormatting sqref="N114:W114">
    <cfRule type="expression" dxfId="78" priority="34">
      <formula>$O114:$O129="Urban"</formula>
    </cfRule>
  </conditionalFormatting>
  <conditionalFormatting sqref="N140:W152 N187:W198 N257:W269">
    <cfRule type="expression" dxfId="77" priority="44">
      <formula>$O140:$O153="Urban"</formula>
    </cfRule>
  </conditionalFormatting>
  <conditionalFormatting sqref="N161:W161 O162:W162 N207:W225 N255:W256">
    <cfRule type="expression" dxfId="76" priority="29">
      <formula>$O161:$O175="Urban"</formula>
    </cfRule>
  </conditionalFormatting>
  <conditionalFormatting sqref="N163:W175">
    <cfRule type="expression" dxfId="75" priority="31">
      <formula>$O163:$O176="Urban"</formula>
    </cfRule>
  </conditionalFormatting>
  <conditionalFormatting sqref="N184:W203">
    <cfRule type="expression" dxfId="74" priority="25">
      <formula>$O184:$O198="Urban"</formula>
    </cfRule>
  </conditionalFormatting>
  <conditionalFormatting sqref="N209:W209">
    <cfRule type="expression" dxfId="73" priority="20">
      <formula>$O209:$O223="Urban"</formula>
    </cfRule>
  </conditionalFormatting>
  <conditionalFormatting sqref="N210:W221">
    <cfRule type="expression" dxfId="72" priority="22">
      <formula>$O210:$O223="Urban"</formula>
    </cfRule>
  </conditionalFormatting>
  <conditionalFormatting sqref="N277:W278">
    <cfRule type="expression" dxfId="71" priority="7">
      <formula>$O277:$O291="Urban"</formula>
    </cfRule>
  </conditionalFormatting>
  <conditionalFormatting sqref="N279:W291">
    <cfRule type="expression" dxfId="70" priority="8">
      <formula>$O279:$O292="Urban"</formula>
    </cfRule>
  </conditionalFormatting>
  <conditionalFormatting sqref="O92:W92">
    <cfRule type="expression" dxfId="69" priority="36">
      <formula>$O92:$O108="Urban"</formula>
    </cfRule>
  </conditionalFormatting>
  <conditionalFormatting sqref="O208:W208">
    <cfRule type="expression" dxfId="68" priority="19">
      <formula>$O208:$O223="Urban"</formula>
    </cfRule>
  </conditionalFormatting>
  <dataValidations count="1">
    <dataValidation type="list" allowBlank="1" showInputMessage="1" showErrorMessage="1" sqref="C21:C36 O21:O36 C43:C58 O43:O59 C66:C83 O66:O82 C91:C106 O91:O107 C114:C131 O114:O129 C138:C154 O138:O152 C161:C177 O161:O175 C184:C200 O184:O199 C207:C223 O207:O222 C230:C245 O230:O247 C254:C269 O254:O269 C276:C292 O276:O291" xr:uid="{AEE7DA83-BC4C-4A89-8C74-687E94242153}">
      <formula1>"Rural, Urban"</formula1>
    </dataValidation>
  </dataValidations>
  <pageMargins left="0.7" right="0.7" top="0.75" bottom="0.75" header="0.3" footer="0.3"/>
  <drawing r:id="rId1"/>
  <tableParts count="2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D9E34-0BDB-4DFC-B936-FDD8D4D9DA93}">
  <dimension ref="B20:W463"/>
  <sheetViews>
    <sheetView showGridLines="0" zoomScale="70" zoomScaleNormal="70" workbookViewId="0">
      <selection activeCell="AE6" sqref="AE6"/>
    </sheetView>
  </sheetViews>
  <sheetFormatPr defaultColWidth="9.109375" defaultRowHeight="16.8" x14ac:dyDescent="0.4"/>
  <cols>
    <col min="1" max="1" width="9.109375" style="2"/>
    <col min="2" max="2" width="27.109375" style="2" bestFit="1" customWidth="1"/>
    <col min="3" max="3" width="7.6640625" style="2" bestFit="1" customWidth="1"/>
    <col min="4" max="4" width="6.6640625" style="2" bestFit="1" customWidth="1"/>
    <col min="5" max="5" width="6.109375" style="2" bestFit="1" customWidth="1"/>
    <col min="6" max="6" width="7.5546875" style="2" bestFit="1" customWidth="1"/>
    <col min="7" max="7" width="17.44140625" style="2" bestFit="1" customWidth="1"/>
    <col min="8" max="8" width="12.88671875" style="2" bestFit="1" customWidth="1"/>
    <col min="9" max="9" width="17.109375" style="2" bestFit="1" customWidth="1"/>
    <col min="10" max="10" width="15.44140625" style="2" bestFit="1" customWidth="1"/>
    <col min="11" max="11" width="7.88671875" style="30" bestFit="1" customWidth="1"/>
    <col min="12" max="12" width="9.109375" style="2"/>
    <col min="13" max="13" width="26.6640625" style="2" bestFit="1" customWidth="1"/>
    <col min="14" max="14" width="7.6640625" style="2" bestFit="1" customWidth="1"/>
    <col min="15" max="15" width="6.6640625" style="2" bestFit="1" customWidth="1"/>
    <col min="16" max="16" width="6.109375" style="2" bestFit="1" customWidth="1"/>
    <col min="17" max="17" width="7.5546875" style="2" bestFit="1" customWidth="1"/>
    <col min="18" max="18" width="17.44140625" style="2" bestFit="1" customWidth="1"/>
    <col min="19" max="19" width="12.88671875" style="2" bestFit="1" customWidth="1"/>
    <col min="20" max="20" width="17.109375" style="2" bestFit="1" customWidth="1"/>
    <col min="21" max="21" width="15.44140625" style="2" bestFit="1" customWidth="1"/>
    <col min="22" max="22" width="7.88671875" style="30" bestFit="1" customWidth="1"/>
    <col min="23" max="16384" width="9.109375" style="2"/>
  </cols>
  <sheetData>
    <row r="20" spans="2:23" ht="19.2" x14ac:dyDescent="0.45">
      <c r="B20" s="38">
        <v>45292</v>
      </c>
      <c r="C20" s="38"/>
      <c r="D20" s="38"/>
      <c r="E20" s="39" t="s">
        <v>22</v>
      </c>
      <c r="F20" s="39"/>
      <c r="G20" s="39"/>
      <c r="H20" s="39"/>
      <c r="I20" s="39"/>
      <c r="J20" s="39"/>
      <c r="K20" s="39"/>
      <c r="L20" s="1"/>
      <c r="M20" s="40">
        <v>45658</v>
      </c>
      <c r="N20" s="40"/>
      <c r="O20" s="40"/>
      <c r="P20" s="41" t="s">
        <v>22</v>
      </c>
      <c r="Q20" s="41"/>
      <c r="R20" s="41"/>
      <c r="S20" s="41"/>
      <c r="T20" s="41"/>
      <c r="U20" s="41"/>
      <c r="V20" s="41"/>
    </row>
    <row r="21" spans="2:23" ht="19.2" x14ac:dyDescent="0.45">
      <c r="B21" s="38"/>
      <c r="C21" s="38"/>
      <c r="D21" s="38"/>
      <c r="E21" s="39"/>
      <c r="F21" s="39"/>
      <c r="G21" s="39"/>
      <c r="H21" s="39"/>
      <c r="I21" s="39"/>
      <c r="J21" s="39"/>
      <c r="K21" s="39"/>
      <c r="L21" s="1"/>
      <c r="M21" s="40"/>
      <c r="N21" s="40"/>
      <c r="O21" s="40"/>
      <c r="P21" s="41"/>
      <c r="Q21" s="41"/>
      <c r="R21" s="41"/>
      <c r="S21" s="41"/>
      <c r="T21" s="41"/>
      <c r="U21" s="41"/>
      <c r="V21" s="41"/>
    </row>
    <row r="22" spans="2:23" ht="20.399999999999999" x14ac:dyDescent="0.45">
      <c r="B22" s="3" t="s">
        <v>23</v>
      </c>
      <c r="C22" s="3" t="s">
        <v>68</v>
      </c>
      <c r="D22" s="4" t="s">
        <v>25</v>
      </c>
      <c r="E22" s="4" t="s">
        <v>0</v>
      </c>
      <c r="F22" s="4" t="s">
        <v>26</v>
      </c>
      <c r="G22" s="4" t="s">
        <v>27</v>
      </c>
      <c r="H22" s="4" t="s">
        <v>1</v>
      </c>
      <c r="I22" s="4" t="s">
        <v>2</v>
      </c>
      <c r="J22" s="4" t="s">
        <v>3</v>
      </c>
      <c r="K22" s="4" t="s">
        <v>20</v>
      </c>
      <c r="L22" s="5"/>
      <c r="M22" s="6" t="s">
        <v>23</v>
      </c>
      <c r="N22" s="6" t="s">
        <v>68</v>
      </c>
      <c r="O22" s="7" t="s">
        <v>25</v>
      </c>
      <c r="P22" s="7" t="s">
        <v>0</v>
      </c>
      <c r="Q22" s="7" t="s">
        <v>26</v>
      </c>
      <c r="R22" s="7" t="s">
        <v>27</v>
      </c>
      <c r="S22" s="7" t="s">
        <v>1</v>
      </c>
      <c r="T22" s="7" t="s">
        <v>2</v>
      </c>
      <c r="U22" s="7" t="s">
        <v>3</v>
      </c>
      <c r="V22" s="7" t="s">
        <v>20</v>
      </c>
      <c r="W22" s="1"/>
    </row>
    <row r="23" spans="2:23" ht="19.2" hidden="1" x14ac:dyDescent="0.4">
      <c r="B23" s="8" t="s">
        <v>64</v>
      </c>
      <c r="C23" s="8" t="s">
        <v>69</v>
      </c>
      <c r="D23" s="9">
        <v>0</v>
      </c>
      <c r="E23" s="9">
        <v>0</v>
      </c>
      <c r="F23" s="9">
        <v>7</v>
      </c>
      <c r="G23" s="9">
        <v>0</v>
      </c>
      <c r="H23" s="9">
        <v>0</v>
      </c>
      <c r="I23" s="9">
        <v>0</v>
      </c>
      <c r="J23" s="9">
        <v>0</v>
      </c>
      <c r="K23" s="10"/>
      <c r="M23" s="8" t="s">
        <v>64</v>
      </c>
      <c r="N23" s="8" t="s">
        <v>69</v>
      </c>
      <c r="O23" s="9">
        <v>6</v>
      </c>
      <c r="P23" s="9">
        <v>0</v>
      </c>
      <c r="Q23" s="9">
        <v>1</v>
      </c>
      <c r="R23" s="9">
        <v>10</v>
      </c>
      <c r="S23" s="9">
        <v>0</v>
      </c>
      <c r="T23" s="9">
        <v>0</v>
      </c>
      <c r="U23" s="9">
        <v>0</v>
      </c>
      <c r="V23" s="10"/>
    </row>
    <row r="24" spans="2:23" ht="19.2" x14ac:dyDescent="0.4">
      <c r="B24" s="8" t="s">
        <v>70</v>
      </c>
      <c r="C24" s="8" t="s">
        <v>71</v>
      </c>
      <c r="D24" s="9">
        <v>0</v>
      </c>
      <c r="E24" s="9">
        <v>0</v>
      </c>
      <c r="F24" s="9">
        <v>2</v>
      </c>
      <c r="G24" s="9">
        <v>0</v>
      </c>
      <c r="H24" s="9">
        <v>0</v>
      </c>
      <c r="I24" s="9">
        <v>0</v>
      </c>
      <c r="J24" s="9">
        <v>0</v>
      </c>
      <c r="K24" s="10">
        <f>SUM(January24[[#This Row],[Bus ]:[Wheelchair]])</f>
        <v>2</v>
      </c>
      <c r="M24" s="8" t="s">
        <v>43</v>
      </c>
      <c r="N24" s="8" t="s">
        <v>72</v>
      </c>
      <c r="O24" s="9">
        <v>0</v>
      </c>
      <c r="P24" s="9">
        <v>23</v>
      </c>
      <c r="Q24" s="9">
        <v>0</v>
      </c>
      <c r="R24" s="9">
        <v>0</v>
      </c>
      <c r="S24" s="9">
        <v>0</v>
      </c>
      <c r="T24" s="9">
        <v>8</v>
      </c>
      <c r="U24" s="9">
        <v>0</v>
      </c>
      <c r="V24" s="10">
        <f>SUM(January25[[#This Row],[Bus ]:[Wheelchair]])</f>
        <v>31</v>
      </c>
    </row>
    <row r="25" spans="2:23" ht="19.2" x14ac:dyDescent="0.4">
      <c r="B25" s="8" t="s">
        <v>73</v>
      </c>
      <c r="C25" s="8" t="s">
        <v>71</v>
      </c>
      <c r="D25" s="9">
        <v>0</v>
      </c>
      <c r="E25" s="9">
        <v>1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10">
        <f>SUM(January24[[#This Row],[Bus ]:[Wheelchair]])</f>
        <v>1</v>
      </c>
      <c r="M25" s="8" t="s">
        <v>44</v>
      </c>
      <c r="N25" s="8" t="s">
        <v>72</v>
      </c>
      <c r="O25" s="9">
        <v>0</v>
      </c>
      <c r="P25" s="9">
        <v>10</v>
      </c>
      <c r="Q25" s="9">
        <v>7</v>
      </c>
      <c r="R25" s="9">
        <v>0</v>
      </c>
      <c r="S25" s="9">
        <v>0</v>
      </c>
      <c r="T25" s="9">
        <v>1</v>
      </c>
      <c r="U25" s="9">
        <v>0</v>
      </c>
      <c r="V25" s="10">
        <f>SUM(January25[[#This Row],[Bus ]:[Wheelchair]])</f>
        <v>18</v>
      </c>
    </row>
    <row r="26" spans="2:23" ht="19.2" x14ac:dyDescent="0.4">
      <c r="B26" s="8" t="s">
        <v>44</v>
      </c>
      <c r="C26" s="8" t="s">
        <v>72</v>
      </c>
      <c r="D26" s="9">
        <v>0</v>
      </c>
      <c r="E26" s="9">
        <v>11</v>
      </c>
      <c r="F26" s="9">
        <v>17</v>
      </c>
      <c r="G26" s="9">
        <v>0</v>
      </c>
      <c r="H26" s="9">
        <v>0</v>
      </c>
      <c r="I26" s="9">
        <v>4</v>
      </c>
      <c r="J26" s="9">
        <v>0</v>
      </c>
      <c r="K26" s="10">
        <f>SUM(January24[[#This Row],[Bus ]:[Wheelchair]])</f>
        <v>32</v>
      </c>
      <c r="M26" s="8" t="s">
        <v>38</v>
      </c>
      <c r="N26" s="8" t="s">
        <v>74</v>
      </c>
      <c r="O26" s="9">
        <v>0</v>
      </c>
      <c r="P26" s="9">
        <v>4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0">
        <f>SUM(January25[[#This Row],[Bus ]:[Wheelchair]])</f>
        <v>4</v>
      </c>
    </row>
    <row r="27" spans="2:23" ht="19.2" x14ac:dyDescent="0.4">
      <c r="B27" s="8" t="s">
        <v>38</v>
      </c>
      <c r="C27" s="8" t="s">
        <v>74</v>
      </c>
      <c r="D27" s="9">
        <v>0</v>
      </c>
      <c r="E27" s="9">
        <v>1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10">
        <f>SUM(January24[[#This Row],[Bus ]:[Wheelchair]])</f>
        <v>2</v>
      </c>
      <c r="M27" s="8" t="s">
        <v>42</v>
      </c>
      <c r="N27" s="8" t="s">
        <v>74</v>
      </c>
      <c r="O27" s="9">
        <v>0</v>
      </c>
      <c r="P27" s="9">
        <v>48</v>
      </c>
      <c r="Q27" s="9">
        <v>21</v>
      </c>
      <c r="R27" s="9">
        <v>0</v>
      </c>
      <c r="S27" s="9">
        <v>2</v>
      </c>
      <c r="T27" s="9">
        <v>5</v>
      </c>
      <c r="U27" s="9">
        <v>1</v>
      </c>
      <c r="V27" s="10">
        <f>SUM(January25[[#This Row],[Bus ]:[Wheelchair]])</f>
        <v>77</v>
      </c>
    </row>
    <row r="28" spans="2:23" ht="19.2" x14ac:dyDescent="0.4">
      <c r="B28" s="8" t="s">
        <v>42</v>
      </c>
      <c r="C28" s="8" t="s">
        <v>74</v>
      </c>
      <c r="D28" s="9">
        <v>0</v>
      </c>
      <c r="E28" s="9">
        <v>26</v>
      </c>
      <c r="F28" s="9">
        <v>33</v>
      </c>
      <c r="G28" s="9">
        <v>1</v>
      </c>
      <c r="H28" s="9">
        <v>0</v>
      </c>
      <c r="I28" s="9">
        <v>103</v>
      </c>
      <c r="J28" s="9">
        <v>0</v>
      </c>
      <c r="K28" s="10">
        <f>SUM(January24[[#This Row],[Bus ]:[Wheelchair]])</f>
        <v>163</v>
      </c>
      <c r="M28" s="8" t="s">
        <v>75</v>
      </c>
      <c r="N28" s="8" t="s">
        <v>74</v>
      </c>
      <c r="O28" s="9">
        <v>0</v>
      </c>
      <c r="P28" s="9">
        <v>0</v>
      </c>
      <c r="Q28" s="9">
        <v>22</v>
      </c>
      <c r="R28" s="9">
        <v>0</v>
      </c>
      <c r="S28" s="9">
        <v>0</v>
      </c>
      <c r="T28" s="9">
        <v>0</v>
      </c>
      <c r="U28" s="9">
        <v>0</v>
      </c>
      <c r="V28" s="10">
        <f>SUM(January25[[#This Row],[Bus ]:[Wheelchair]])</f>
        <v>22</v>
      </c>
    </row>
    <row r="29" spans="2:23" ht="19.2" x14ac:dyDescent="0.4">
      <c r="B29" s="8" t="s">
        <v>76</v>
      </c>
      <c r="C29" s="8" t="s">
        <v>74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1</v>
      </c>
      <c r="J29" s="9">
        <v>0</v>
      </c>
      <c r="K29" s="10">
        <f>SUM(January24[[#This Row],[Bus ]:[Wheelchair]])</f>
        <v>1</v>
      </c>
      <c r="M29" s="8" t="s">
        <v>76</v>
      </c>
      <c r="N29" s="8" t="s">
        <v>74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1</v>
      </c>
      <c r="U29" s="9">
        <v>0</v>
      </c>
      <c r="V29" s="10">
        <f>SUM(January25[[#This Row],[Bus ]:[Wheelchair]])</f>
        <v>1</v>
      </c>
    </row>
    <row r="30" spans="2:23" ht="19.2" x14ac:dyDescent="0.4">
      <c r="B30" s="8" t="s">
        <v>51</v>
      </c>
      <c r="C30" s="8" t="s">
        <v>74</v>
      </c>
      <c r="D30" s="9">
        <v>0</v>
      </c>
      <c r="E30" s="9">
        <v>1</v>
      </c>
      <c r="F30" s="9">
        <v>0</v>
      </c>
      <c r="G30" s="9">
        <v>0</v>
      </c>
      <c r="H30" s="9">
        <v>0</v>
      </c>
      <c r="I30" s="9">
        <v>8</v>
      </c>
      <c r="J30" s="9">
        <v>0</v>
      </c>
      <c r="K30" s="10">
        <f>SUM(January24[[#This Row],[Bus ]:[Wheelchair]])</f>
        <v>9</v>
      </c>
      <c r="M30" s="8" t="s">
        <v>52</v>
      </c>
      <c r="N30" s="8" t="s">
        <v>74</v>
      </c>
      <c r="O30" s="9">
        <v>1</v>
      </c>
      <c r="P30" s="9">
        <v>5</v>
      </c>
      <c r="Q30" s="9">
        <v>5</v>
      </c>
      <c r="R30" s="9">
        <v>0</v>
      </c>
      <c r="S30" s="9">
        <v>0</v>
      </c>
      <c r="T30" s="9">
        <v>1</v>
      </c>
      <c r="U30" s="9">
        <v>0</v>
      </c>
      <c r="V30" s="10">
        <f>SUM(January25[[#This Row],[Bus ]:[Wheelchair]])</f>
        <v>12</v>
      </c>
    </row>
    <row r="31" spans="2:23" ht="19.2" x14ac:dyDescent="0.4">
      <c r="B31" s="8" t="s">
        <v>52</v>
      </c>
      <c r="C31" s="8" t="s">
        <v>74</v>
      </c>
      <c r="D31" s="9">
        <v>0</v>
      </c>
      <c r="E31" s="9">
        <v>5</v>
      </c>
      <c r="F31" s="9">
        <v>1</v>
      </c>
      <c r="G31" s="9">
        <v>0</v>
      </c>
      <c r="H31" s="9">
        <v>0</v>
      </c>
      <c r="I31" s="9">
        <v>0</v>
      </c>
      <c r="J31" s="9">
        <v>1</v>
      </c>
      <c r="K31" s="10">
        <f>SUM(January24[[#This Row],[Bus ]:[Wheelchair]])</f>
        <v>7</v>
      </c>
      <c r="M31" s="8" t="s">
        <v>56</v>
      </c>
      <c r="N31" s="8" t="s">
        <v>74</v>
      </c>
      <c r="O31" s="9">
        <v>0</v>
      </c>
      <c r="P31" s="9">
        <v>3</v>
      </c>
      <c r="Q31" s="9">
        <v>2</v>
      </c>
      <c r="R31" s="9">
        <v>0</v>
      </c>
      <c r="S31" s="9">
        <v>0</v>
      </c>
      <c r="T31" s="9">
        <v>0</v>
      </c>
      <c r="U31" s="9">
        <v>0</v>
      </c>
      <c r="V31" s="10">
        <f>SUM(January25[[#This Row],[Bus ]:[Wheelchair]])</f>
        <v>5</v>
      </c>
    </row>
    <row r="32" spans="2:23" ht="19.2" x14ac:dyDescent="0.4">
      <c r="B32" s="8" t="s">
        <v>56</v>
      </c>
      <c r="C32" s="8" t="s">
        <v>74</v>
      </c>
      <c r="D32" s="9">
        <v>0</v>
      </c>
      <c r="E32" s="9">
        <v>1</v>
      </c>
      <c r="F32" s="9">
        <v>1</v>
      </c>
      <c r="G32" s="9">
        <v>0</v>
      </c>
      <c r="H32" s="9">
        <v>0</v>
      </c>
      <c r="I32" s="9">
        <v>1</v>
      </c>
      <c r="J32" s="9">
        <v>0</v>
      </c>
      <c r="K32" s="10">
        <f>SUM(January24[[#This Row],[Bus ]:[Wheelchair]])</f>
        <v>3</v>
      </c>
      <c r="M32" s="8" t="s">
        <v>57</v>
      </c>
      <c r="N32" s="8" t="s">
        <v>74</v>
      </c>
      <c r="O32" s="9">
        <v>0</v>
      </c>
      <c r="P32" s="9">
        <v>0</v>
      </c>
      <c r="Q32" s="9">
        <v>1</v>
      </c>
      <c r="R32" s="9">
        <v>0</v>
      </c>
      <c r="S32" s="9">
        <v>0</v>
      </c>
      <c r="T32" s="9">
        <v>0</v>
      </c>
      <c r="U32" s="9">
        <v>0</v>
      </c>
      <c r="V32" s="10">
        <f>SUM(January25[[#This Row],[Bus ]:[Wheelchair]])</f>
        <v>1</v>
      </c>
    </row>
    <row r="33" spans="2:22" ht="19.2" x14ac:dyDescent="0.4">
      <c r="B33" s="8" t="s">
        <v>57</v>
      </c>
      <c r="C33" s="8" t="s">
        <v>74</v>
      </c>
      <c r="D33" s="9">
        <v>0</v>
      </c>
      <c r="E33" s="9">
        <v>0</v>
      </c>
      <c r="F33" s="9">
        <v>1</v>
      </c>
      <c r="G33" s="9">
        <v>0</v>
      </c>
      <c r="H33" s="9">
        <v>0</v>
      </c>
      <c r="I33" s="9">
        <v>0</v>
      </c>
      <c r="J33" s="9">
        <v>0</v>
      </c>
      <c r="K33" s="10">
        <f>SUM(January24[[#This Row],[Bus ]:[Wheelchair]])</f>
        <v>1</v>
      </c>
      <c r="M33" s="8" t="s">
        <v>59</v>
      </c>
      <c r="N33" s="8" t="s">
        <v>74</v>
      </c>
      <c r="O33" s="9">
        <v>0</v>
      </c>
      <c r="P33" s="9">
        <v>9</v>
      </c>
      <c r="Q33" s="9">
        <v>1</v>
      </c>
      <c r="R33" s="9">
        <v>0</v>
      </c>
      <c r="S33" s="9">
        <v>0</v>
      </c>
      <c r="T33" s="9">
        <v>1</v>
      </c>
      <c r="U33" s="9">
        <v>0</v>
      </c>
      <c r="V33" s="10">
        <f>SUM(January25[[#This Row],[Bus ]:[Wheelchair]])</f>
        <v>11</v>
      </c>
    </row>
    <row r="34" spans="2:22" ht="19.2" x14ac:dyDescent="0.4">
      <c r="B34" s="8" t="s">
        <v>59</v>
      </c>
      <c r="C34" s="8" t="s">
        <v>74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4</v>
      </c>
      <c r="J34" s="9">
        <v>0</v>
      </c>
      <c r="K34" s="10">
        <f>SUM(January24[[#This Row],[Bus ]:[Wheelchair]])</f>
        <v>4</v>
      </c>
      <c r="M34" s="8" t="s">
        <v>60</v>
      </c>
      <c r="N34" s="8" t="s">
        <v>74</v>
      </c>
      <c r="O34" s="9">
        <v>0</v>
      </c>
      <c r="P34" s="9">
        <v>12</v>
      </c>
      <c r="Q34" s="9">
        <v>5</v>
      </c>
      <c r="R34" s="9">
        <v>0</v>
      </c>
      <c r="S34" s="9">
        <v>2</v>
      </c>
      <c r="T34" s="9">
        <v>3</v>
      </c>
      <c r="U34" s="9">
        <v>1</v>
      </c>
      <c r="V34" s="10">
        <f>SUM(January25[[#This Row],[Bus ]:[Wheelchair]])</f>
        <v>23</v>
      </c>
    </row>
    <row r="35" spans="2:22" ht="19.2" x14ac:dyDescent="0.4">
      <c r="B35" s="8" t="s">
        <v>60</v>
      </c>
      <c r="C35" s="8" t="s">
        <v>74</v>
      </c>
      <c r="D35" s="9">
        <v>0</v>
      </c>
      <c r="E35" s="9">
        <v>1</v>
      </c>
      <c r="F35" s="9">
        <v>2</v>
      </c>
      <c r="G35" s="9">
        <v>0</v>
      </c>
      <c r="H35" s="9">
        <v>0</v>
      </c>
      <c r="I35" s="9">
        <v>21</v>
      </c>
      <c r="J35" s="9">
        <v>0</v>
      </c>
      <c r="K35" s="10">
        <f>SUM(January24[[#This Row],[Bus ]:[Wheelchair]])</f>
        <v>24</v>
      </c>
      <c r="M35" s="8" t="s">
        <v>82</v>
      </c>
      <c r="N35" s="8" t="s">
        <v>78</v>
      </c>
      <c r="O35" s="9">
        <v>0</v>
      </c>
      <c r="P35" s="9">
        <v>3</v>
      </c>
      <c r="Q35" s="9">
        <v>0</v>
      </c>
      <c r="R35" s="9">
        <v>0</v>
      </c>
      <c r="S35" s="9">
        <v>0</v>
      </c>
      <c r="T35" s="9">
        <v>3</v>
      </c>
      <c r="U35" s="9">
        <v>0</v>
      </c>
      <c r="V35" s="10">
        <f>SUM(January25[[#This Row],[Bus ]:[Wheelchair]])</f>
        <v>6</v>
      </c>
    </row>
    <row r="36" spans="2:22" ht="19.2" x14ac:dyDescent="0.4">
      <c r="B36" s="8" t="s">
        <v>84</v>
      </c>
      <c r="C36" s="8" t="s">
        <v>74</v>
      </c>
      <c r="D36" s="9">
        <v>0</v>
      </c>
      <c r="E36" s="9">
        <v>1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10">
        <f>SUM(January24[[#This Row],[Bus ]:[Wheelchair]])</f>
        <v>1</v>
      </c>
      <c r="M36" s="8" t="s">
        <v>35</v>
      </c>
      <c r="N36" s="8" t="s">
        <v>79</v>
      </c>
      <c r="O36" s="9">
        <v>0</v>
      </c>
      <c r="P36" s="9">
        <v>1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0">
        <f>SUM(January25[[#This Row],[Bus ]:[Wheelchair]])</f>
        <v>1</v>
      </c>
    </row>
    <row r="37" spans="2:22" ht="19.2" x14ac:dyDescent="0.4">
      <c r="B37" s="8" t="s">
        <v>86</v>
      </c>
      <c r="C37" s="8" t="s">
        <v>74</v>
      </c>
      <c r="D37" s="9">
        <v>0</v>
      </c>
      <c r="E37" s="9">
        <v>0</v>
      </c>
      <c r="F37" s="9">
        <v>4</v>
      </c>
      <c r="G37" s="9">
        <v>0</v>
      </c>
      <c r="H37" s="9">
        <v>0</v>
      </c>
      <c r="I37" s="9">
        <v>0</v>
      </c>
      <c r="J37" s="9">
        <v>0</v>
      </c>
      <c r="K37" s="10">
        <f>SUM(January24[[#This Row],[Bus ]:[Wheelchair]])</f>
        <v>4</v>
      </c>
      <c r="M37" s="8" t="s">
        <v>39</v>
      </c>
      <c r="N37" s="8" t="s">
        <v>79</v>
      </c>
      <c r="O37" s="9">
        <v>0</v>
      </c>
      <c r="P37" s="9">
        <v>0</v>
      </c>
      <c r="Q37" s="9">
        <v>1</v>
      </c>
      <c r="R37" s="9">
        <v>0</v>
      </c>
      <c r="S37" s="9">
        <v>0</v>
      </c>
      <c r="T37" s="9">
        <v>0</v>
      </c>
      <c r="U37" s="9">
        <v>0</v>
      </c>
      <c r="V37" s="10">
        <f>SUM(January25[[#This Row],[Bus ]:[Wheelchair]])</f>
        <v>1</v>
      </c>
    </row>
    <row r="38" spans="2:22" ht="19.2" x14ac:dyDescent="0.4">
      <c r="B38" s="8" t="s">
        <v>88</v>
      </c>
      <c r="C38" s="8" t="s">
        <v>77</v>
      </c>
      <c r="D38" s="9">
        <v>0</v>
      </c>
      <c r="E38" s="9">
        <v>1</v>
      </c>
      <c r="F38" s="9">
        <v>1</v>
      </c>
      <c r="G38" s="9">
        <v>0</v>
      </c>
      <c r="H38" s="9">
        <v>0</v>
      </c>
      <c r="I38" s="9">
        <v>0</v>
      </c>
      <c r="J38" s="9">
        <v>0</v>
      </c>
      <c r="K38" s="10">
        <f>SUM(January24[[#This Row],[Bus ]:[Wheelchair]])</f>
        <v>2</v>
      </c>
      <c r="M38" s="8" t="s">
        <v>40</v>
      </c>
      <c r="N38" s="8" t="s">
        <v>79</v>
      </c>
      <c r="O38" s="9">
        <v>0</v>
      </c>
      <c r="P38" s="9">
        <v>0</v>
      </c>
      <c r="Q38" s="9">
        <v>1</v>
      </c>
      <c r="R38" s="9">
        <v>0</v>
      </c>
      <c r="S38" s="9">
        <v>0</v>
      </c>
      <c r="T38" s="9">
        <v>0</v>
      </c>
      <c r="U38" s="9">
        <v>0</v>
      </c>
      <c r="V38" s="10">
        <f>SUM(January25[[#This Row],[Bus ]:[Wheelchair]])</f>
        <v>1</v>
      </c>
    </row>
    <row r="39" spans="2:22" ht="19.2" x14ac:dyDescent="0.4">
      <c r="B39" s="8" t="s">
        <v>90</v>
      </c>
      <c r="C39" s="8" t="s">
        <v>78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1</v>
      </c>
      <c r="J39" s="9">
        <v>0</v>
      </c>
      <c r="K39" s="10">
        <f>SUM(January24[[#This Row],[Bus ]:[Wheelchair]])</f>
        <v>1</v>
      </c>
      <c r="M39" s="8" t="s">
        <v>91</v>
      </c>
      <c r="N39" s="8" t="s">
        <v>79</v>
      </c>
      <c r="O39" s="9">
        <v>0</v>
      </c>
      <c r="P39" s="9">
        <v>0</v>
      </c>
      <c r="Q39" s="9">
        <v>1</v>
      </c>
      <c r="R39" s="9">
        <v>0</v>
      </c>
      <c r="S39" s="9">
        <v>0</v>
      </c>
      <c r="T39" s="9">
        <v>0</v>
      </c>
      <c r="U39" s="9">
        <v>0</v>
      </c>
      <c r="V39" s="10">
        <f>SUM(January25[[#This Row],[Bus ]:[Wheelchair]])</f>
        <v>1</v>
      </c>
    </row>
    <row r="40" spans="2:22" ht="19.2" x14ac:dyDescent="0.4">
      <c r="B40" s="8" t="s">
        <v>39</v>
      </c>
      <c r="C40" s="8" t="s">
        <v>79</v>
      </c>
      <c r="D40" s="9">
        <v>0</v>
      </c>
      <c r="E40" s="9">
        <v>1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10">
        <f>SUM(January24[[#This Row],[Bus ]:[Wheelchair]])</f>
        <v>1</v>
      </c>
      <c r="M40" s="8" t="s">
        <v>63</v>
      </c>
      <c r="N40" s="8" t="s">
        <v>79</v>
      </c>
      <c r="O40" s="9">
        <v>0</v>
      </c>
      <c r="P40" s="9">
        <v>3</v>
      </c>
      <c r="Q40" s="9">
        <v>7</v>
      </c>
      <c r="R40" s="9">
        <v>0</v>
      </c>
      <c r="S40" s="9">
        <v>0</v>
      </c>
      <c r="T40" s="9">
        <v>0</v>
      </c>
      <c r="U40" s="9">
        <v>0</v>
      </c>
      <c r="V40" s="10">
        <f>SUM(January25[[#This Row],[Bus ]:[Wheelchair]])</f>
        <v>10</v>
      </c>
    </row>
    <row r="41" spans="2:22" ht="19.2" x14ac:dyDescent="0.4">
      <c r="B41" s="8" t="s">
        <v>94</v>
      </c>
      <c r="C41" s="8" t="s">
        <v>79</v>
      </c>
      <c r="D41" s="9">
        <v>0</v>
      </c>
      <c r="E41" s="9">
        <v>1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10">
        <f>SUM(January24[[#This Row],[Bus ]:[Wheelchair]])</f>
        <v>1</v>
      </c>
      <c r="M41" s="8" t="s">
        <v>95</v>
      </c>
      <c r="N41" s="8" t="s">
        <v>80</v>
      </c>
      <c r="O41" s="9">
        <v>0</v>
      </c>
      <c r="P41" s="9">
        <v>1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0">
        <f>SUM(January25[[#This Row],[Bus ]:[Wheelchair]])</f>
        <v>1</v>
      </c>
    </row>
    <row r="42" spans="2:22" ht="19.2" x14ac:dyDescent="0.4">
      <c r="B42" s="8" t="s">
        <v>63</v>
      </c>
      <c r="C42" s="8" t="s">
        <v>79</v>
      </c>
      <c r="D42" s="9">
        <v>0</v>
      </c>
      <c r="E42" s="9">
        <v>7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10">
        <f>SUM(January24[[#This Row],[Bus ]:[Wheelchair]])</f>
        <v>7</v>
      </c>
      <c r="M42" s="8" t="s">
        <v>97</v>
      </c>
      <c r="N42" s="8" t="s">
        <v>81</v>
      </c>
      <c r="O42" s="9">
        <v>0</v>
      </c>
      <c r="P42" s="9">
        <v>0</v>
      </c>
      <c r="Q42" s="9">
        <v>2</v>
      </c>
      <c r="R42" s="9">
        <v>0</v>
      </c>
      <c r="S42" s="9">
        <v>0</v>
      </c>
      <c r="T42" s="9">
        <v>0</v>
      </c>
      <c r="U42" s="9">
        <v>0</v>
      </c>
      <c r="V42" s="10">
        <f>SUM(January25[[#This Row],[Bus ]:[Wheelchair]])</f>
        <v>2</v>
      </c>
    </row>
    <row r="43" spans="2:22" ht="19.2" x14ac:dyDescent="0.4">
      <c r="B43" s="8" t="s">
        <v>97</v>
      </c>
      <c r="C43" s="8" t="s">
        <v>81</v>
      </c>
      <c r="D43" s="9">
        <v>0</v>
      </c>
      <c r="E43" s="9">
        <v>1</v>
      </c>
      <c r="F43" s="9">
        <v>2</v>
      </c>
      <c r="G43" s="9">
        <v>0</v>
      </c>
      <c r="H43" s="9">
        <v>0</v>
      </c>
      <c r="I43" s="9">
        <v>0</v>
      </c>
      <c r="J43" s="9">
        <v>0</v>
      </c>
      <c r="K43" s="10">
        <f>SUM(January24[[#This Row],[Bus ]:[Wheelchair]])</f>
        <v>3</v>
      </c>
      <c r="M43" s="8" t="s">
        <v>53</v>
      </c>
      <c r="N43" s="8" t="s">
        <v>81</v>
      </c>
      <c r="O43" s="9">
        <v>0</v>
      </c>
      <c r="P43" s="9">
        <v>2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0">
        <f>SUM(January25[[#This Row],[Bus ]:[Wheelchair]])</f>
        <v>2</v>
      </c>
    </row>
    <row r="44" spans="2:22" ht="19.2" x14ac:dyDescent="0.4">
      <c r="B44" s="8" t="s">
        <v>53</v>
      </c>
      <c r="C44" s="8" t="s">
        <v>81</v>
      </c>
      <c r="D44" s="9">
        <v>0</v>
      </c>
      <c r="E44" s="9">
        <v>1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10">
        <f>SUM(January24[[#This Row],[Bus ]:[Wheelchair]])</f>
        <v>1</v>
      </c>
      <c r="M44" s="8" t="s">
        <v>98</v>
      </c>
      <c r="N44" s="8" t="s">
        <v>83</v>
      </c>
      <c r="O44" s="9">
        <v>0</v>
      </c>
      <c r="P44" s="9">
        <v>0</v>
      </c>
      <c r="Q44" s="9">
        <v>0</v>
      </c>
      <c r="R44" s="9">
        <v>0</v>
      </c>
      <c r="S44" s="9">
        <v>2</v>
      </c>
      <c r="T44" s="9">
        <v>0</v>
      </c>
      <c r="U44" s="9">
        <v>0</v>
      </c>
      <c r="V44" s="10">
        <f>SUM(January25[[#This Row],[Bus ]:[Wheelchair]])</f>
        <v>2</v>
      </c>
    </row>
    <row r="45" spans="2:22" ht="19.2" x14ac:dyDescent="0.4">
      <c r="B45" s="8" t="s">
        <v>54</v>
      </c>
      <c r="C45" s="8" t="s">
        <v>81</v>
      </c>
      <c r="D45" s="9">
        <v>0</v>
      </c>
      <c r="E45" s="9">
        <v>1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10">
        <f>SUM(January24[[#This Row],[Bus ]:[Wheelchair]])</f>
        <v>1</v>
      </c>
      <c r="M45" s="8" t="s">
        <v>99</v>
      </c>
      <c r="N45" s="8" t="s">
        <v>85</v>
      </c>
      <c r="O45" s="9">
        <v>0</v>
      </c>
      <c r="P45" s="9">
        <v>0</v>
      </c>
      <c r="Q45" s="9">
        <v>1</v>
      </c>
      <c r="R45" s="9">
        <v>0</v>
      </c>
      <c r="S45" s="9">
        <v>0</v>
      </c>
      <c r="T45" s="9">
        <v>0</v>
      </c>
      <c r="U45" s="9">
        <v>0</v>
      </c>
      <c r="V45" s="10">
        <f>SUM(January25[[#This Row],[Bus ]:[Wheelchair]])</f>
        <v>1</v>
      </c>
    </row>
    <row r="46" spans="2:22" ht="19.2" x14ac:dyDescent="0.4">
      <c r="B46" s="8" t="s">
        <v>32</v>
      </c>
      <c r="C46" s="8" t="s">
        <v>87</v>
      </c>
      <c r="D46" s="9">
        <v>0</v>
      </c>
      <c r="E46" s="9">
        <v>5</v>
      </c>
      <c r="F46" s="9">
        <v>15</v>
      </c>
      <c r="G46" s="9">
        <v>0</v>
      </c>
      <c r="H46" s="9">
        <v>0</v>
      </c>
      <c r="I46" s="9">
        <v>0</v>
      </c>
      <c r="J46" s="9">
        <v>0</v>
      </c>
      <c r="K46" s="10">
        <f>SUM(January24[[#This Row],[Bus ]:[Wheelchair]])</f>
        <v>20</v>
      </c>
      <c r="M46" s="8" t="s">
        <v>32</v>
      </c>
      <c r="N46" s="8" t="s">
        <v>87</v>
      </c>
      <c r="O46" s="9">
        <v>0</v>
      </c>
      <c r="P46" s="9">
        <v>0</v>
      </c>
      <c r="Q46" s="9">
        <v>13</v>
      </c>
      <c r="R46" s="9">
        <v>0</v>
      </c>
      <c r="S46" s="9">
        <v>0</v>
      </c>
      <c r="T46" s="9">
        <v>0</v>
      </c>
      <c r="U46" s="9">
        <v>0</v>
      </c>
      <c r="V46" s="10">
        <f>SUM(January25[[#This Row],[Bus ]:[Wheelchair]])</f>
        <v>13</v>
      </c>
    </row>
    <row r="47" spans="2:22" ht="19.2" x14ac:dyDescent="0.4">
      <c r="B47" s="8" t="s">
        <v>36</v>
      </c>
      <c r="C47" s="8" t="s">
        <v>92</v>
      </c>
      <c r="D47" s="9">
        <v>0</v>
      </c>
      <c r="E47" s="9">
        <v>0</v>
      </c>
      <c r="F47" s="9">
        <v>1</v>
      </c>
      <c r="G47" s="9">
        <v>0</v>
      </c>
      <c r="H47" s="9">
        <v>0</v>
      </c>
      <c r="I47" s="9">
        <v>0</v>
      </c>
      <c r="J47" s="9">
        <v>0</v>
      </c>
      <c r="K47" s="10">
        <f>SUM(January24[[#This Row],[Bus ]:[Wheelchair]])</f>
        <v>1</v>
      </c>
      <c r="M47" s="8" t="s">
        <v>100</v>
      </c>
      <c r="N47" s="8" t="s">
        <v>89</v>
      </c>
      <c r="O47" s="9">
        <v>0</v>
      </c>
      <c r="P47" s="9">
        <v>1</v>
      </c>
      <c r="Q47" s="9">
        <v>1</v>
      </c>
      <c r="R47" s="9">
        <v>0</v>
      </c>
      <c r="S47" s="9">
        <v>0</v>
      </c>
      <c r="T47" s="9">
        <v>0</v>
      </c>
      <c r="U47" s="9">
        <v>0</v>
      </c>
      <c r="V47" s="10">
        <f>SUM(January25[[#This Row],[Bus ]:[Wheelchair]])</f>
        <v>2</v>
      </c>
    </row>
    <row r="48" spans="2:22" ht="19.2" x14ac:dyDescent="0.4">
      <c r="B48" s="8" t="s">
        <v>101</v>
      </c>
      <c r="C48" s="8" t="s">
        <v>92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1</v>
      </c>
      <c r="J48" s="9">
        <v>0</v>
      </c>
      <c r="K48" s="10">
        <f>SUM(January24[[#This Row],[Bus ]:[Wheelchair]])</f>
        <v>1</v>
      </c>
      <c r="M48" s="8" t="s">
        <v>46</v>
      </c>
      <c r="N48" s="8" t="s">
        <v>89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1</v>
      </c>
      <c r="U48" s="9">
        <v>0</v>
      </c>
      <c r="V48" s="10">
        <f>SUM(January25[[#This Row],[Bus ]:[Wheelchair]])</f>
        <v>1</v>
      </c>
    </row>
    <row r="49" spans="2:22" ht="19.2" x14ac:dyDescent="0.4">
      <c r="B49" s="8" t="s">
        <v>55</v>
      </c>
      <c r="C49" s="8" t="s">
        <v>92</v>
      </c>
      <c r="D49" s="9">
        <v>0</v>
      </c>
      <c r="E49" s="9">
        <v>43</v>
      </c>
      <c r="F49" s="9">
        <v>69</v>
      </c>
      <c r="G49" s="9">
        <v>0</v>
      </c>
      <c r="H49" s="9">
        <v>1</v>
      </c>
      <c r="I49" s="9">
        <v>79</v>
      </c>
      <c r="J49" s="9">
        <v>9</v>
      </c>
      <c r="K49" s="10">
        <f>SUM(January24[[#This Row],[Bus ]:[Wheelchair]])</f>
        <v>201</v>
      </c>
      <c r="M49" s="8" t="s">
        <v>55</v>
      </c>
      <c r="N49" s="8" t="s">
        <v>92</v>
      </c>
      <c r="O49" s="9">
        <v>0</v>
      </c>
      <c r="P49" s="9">
        <v>98</v>
      </c>
      <c r="Q49" s="9">
        <v>45</v>
      </c>
      <c r="R49" s="9">
        <v>0</v>
      </c>
      <c r="S49" s="9">
        <v>1</v>
      </c>
      <c r="T49" s="9">
        <v>28</v>
      </c>
      <c r="U49" s="9">
        <v>8</v>
      </c>
      <c r="V49" s="10">
        <f>SUM(January25[[#This Row],[Bus ]:[Wheelchair]])</f>
        <v>180</v>
      </c>
    </row>
    <row r="50" spans="2:22" ht="19.2" x14ac:dyDescent="0.4">
      <c r="B50" s="8" t="s">
        <v>61</v>
      </c>
      <c r="C50" s="8" t="s">
        <v>92</v>
      </c>
      <c r="D50" s="9">
        <v>0</v>
      </c>
      <c r="E50" s="9">
        <v>1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10">
        <f>SUM(January24[[#This Row],[Bus ]:[Wheelchair]])</f>
        <v>1</v>
      </c>
      <c r="M50" s="8" t="s">
        <v>65</v>
      </c>
      <c r="N50" s="8" t="s">
        <v>92</v>
      </c>
      <c r="O50" s="9">
        <v>0</v>
      </c>
      <c r="P50" s="9">
        <v>4</v>
      </c>
      <c r="Q50" s="9">
        <v>2</v>
      </c>
      <c r="R50" s="9">
        <v>0</v>
      </c>
      <c r="S50" s="9">
        <v>0</v>
      </c>
      <c r="T50" s="9">
        <v>2</v>
      </c>
      <c r="U50" s="9">
        <v>0</v>
      </c>
      <c r="V50" s="10">
        <f>SUM(January25[[#This Row],[Bus ]:[Wheelchair]])</f>
        <v>8</v>
      </c>
    </row>
    <row r="51" spans="2:22" ht="19.2" x14ac:dyDescent="0.4">
      <c r="B51" s="8" t="s">
        <v>65</v>
      </c>
      <c r="C51" s="8" t="s">
        <v>92</v>
      </c>
      <c r="D51" s="9">
        <v>0</v>
      </c>
      <c r="E51" s="9">
        <v>0</v>
      </c>
      <c r="F51" s="9">
        <v>1</v>
      </c>
      <c r="G51" s="9">
        <v>0</v>
      </c>
      <c r="H51" s="9">
        <v>0</v>
      </c>
      <c r="I51" s="9">
        <v>0</v>
      </c>
      <c r="J51" s="9">
        <v>0</v>
      </c>
      <c r="K51" s="10">
        <f>SUM(January24[[#This Row],[Bus ]:[Wheelchair]])</f>
        <v>1</v>
      </c>
      <c r="M51" s="8" t="s">
        <v>66</v>
      </c>
      <c r="N51" s="8" t="s">
        <v>92</v>
      </c>
      <c r="O51" s="9">
        <v>0</v>
      </c>
      <c r="P51" s="9">
        <v>5</v>
      </c>
      <c r="Q51" s="9">
        <v>5</v>
      </c>
      <c r="R51" s="9">
        <v>0</v>
      </c>
      <c r="S51" s="9">
        <v>0</v>
      </c>
      <c r="T51" s="9">
        <v>1</v>
      </c>
      <c r="U51" s="9">
        <v>0</v>
      </c>
      <c r="V51" s="10">
        <f>SUM(January25[[#This Row],[Bus ]:[Wheelchair]])</f>
        <v>11</v>
      </c>
    </row>
    <row r="52" spans="2:22" ht="19.2" x14ac:dyDescent="0.4">
      <c r="B52" s="8" t="s">
        <v>66</v>
      </c>
      <c r="C52" s="8" t="s">
        <v>92</v>
      </c>
      <c r="D52" s="9">
        <v>0</v>
      </c>
      <c r="E52" s="9">
        <v>11</v>
      </c>
      <c r="F52" s="9">
        <v>14</v>
      </c>
      <c r="G52" s="9">
        <v>0</v>
      </c>
      <c r="H52" s="9">
        <v>0</v>
      </c>
      <c r="I52" s="9">
        <v>2</v>
      </c>
      <c r="J52" s="9">
        <v>1</v>
      </c>
      <c r="K52" s="10">
        <f>SUM(January24[[#This Row],[Bus ]:[Wheelchair]])</f>
        <v>28</v>
      </c>
      <c r="M52" s="8" t="s">
        <v>102</v>
      </c>
      <c r="N52" s="8" t="s">
        <v>96</v>
      </c>
      <c r="O52" s="9">
        <v>0</v>
      </c>
      <c r="P52" s="9">
        <v>1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0">
        <f>SUM(January25[[#This Row],[Bus ]:[Wheelchair]])</f>
        <v>1</v>
      </c>
    </row>
    <row r="53" spans="2:22" ht="20.399999999999999" x14ac:dyDescent="0.4">
      <c r="B53" s="8" t="s">
        <v>103</v>
      </c>
      <c r="C53" s="8" t="s">
        <v>93</v>
      </c>
      <c r="D53" s="9">
        <v>0</v>
      </c>
      <c r="E53" s="9">
        <v>3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10">
        <f>SUM(January24[[#This Row],[Bus ]:[Wheelchair]])</f>
        <v>3</v>
      </c>
      <c r="M53" s="31" t="s">
        <v>20</v>
      </c>
      <c r="N53" s="31"/>
      <c r="O53" s="32">
        <f>SUBTOTAL(109,January25[[Bus ]])</f>
        <v>1</v>
      </c>
      <c r="P53" s="32">
        <f>SUBTOTAL(109,January25[Cab])</f>
        <v>233</v>
      </c>
      <c r="Q53" s="32">
        <f>SUBTOTAL(109,January25[GMR])</f>
        <v>143</v>
      </c>
      <c r="R53" s="32">
        <f>SUBTOTAL(109,January25[Public Entity])</f>
        <v>0</v>
      </c>
      <c r="S53" s="32">
        <f>SUBTOTAL(109,January25[Stretcher])</f>
        <v>7</v>
      </c>
      <c r="T53" s="32">
        <f>SUBTOTAL(109,January25[TNC Vendor])</f>
        <v>55</v>
      </c>
      <c r="U53" s="32">
        <f>SUBTOTAL(109,January25[Wheelchair])</f>
        <v>10</v>
      </c>
      <c r="V53" s="32">
        <f>SUBTOTAL(109,January25[Total])</f>
        <v>449</v>
      </c>
    </row>
    <row r="54" spans="2:22" ht="20.399999999999999" x14ac:dyDescent="0.4">
      <c r="B54" s="27" t="s">
        <v>20</v>
      </c>
      <c r="C54" s="27"/>
      <c r="D54" s="28">
        <f>SUBTOTAL(109,January24[[Bus ]])</f>
        <v>0</v>
      </c>
      <c r="E54" s="28">
        <f>SUBTOTAL(109,January24[Cab])</f>
        <v>124</v>
      </c>
      <c r="F54" s="28">
        <f>SUBTOTAL(109,January24[GMR])</f>
        <v>164</v>
      </c>
      <c r="G54" s="28">
        <f>SUBTOTAL(109,January24[Public Entity])</f>
        <v>1</v>
      </c>
      <c r="H54" s="28">
        <f>SUBTOTAL(109,January24[Stretcher])</f>
        <v>1</v>
      </c>
      <c r="I54" s="28">
        <f>SUBTOTAL(109,January24[TNC Vendor])</f>
        <v>226</v>
      </c>
      <c r="J54" s="28">
        <f>SUBTOTAL(109,January24[Wheelchair])</f>
        <v>11</v>
      </c>
      <c r="K54" s="28">
        <f>SUBTOTAL(109,January24[Total])</f>
        <v>527</v>
      </c>
      <c r="V54" s="12"/>
    </row>
    <row r="55" spans="2:22" x14ac:dyDescent="0.4">
      <c r="V55" s="12"/>
    </row>
    <row r="56" spans="2:22" x14ac:dyDescent="0.4">
      <c r="V56" s="12"/>
    </row>
    <row r="57" spans="2:22" x14ac:dyDescent="0.4">
      <c r="V57" s="12"/>
    </row>
    <row r="58" spans="2:22" ht="19.2" x14ac:dyDescent="0.45">
      <c r="B58" s="38">
        <v>45323</v>
      </c>
      <c r="C58" s="38"/>
      <c r="D58" s="38"/>
      <c r="E58" s="39" t="s">
        <v>22</v>
      </c>
      <c r="F58" s="39"/>
      <c r="G58" s="39"/>
      <c r="H58" s="39"/>
      <c r="I58" s="39"/>
      <c r="J58" s="39"/>
      <c r="K58" s="39"/>
      <c r="L58" s="1"/>
      <c r="M58" s="40">
        <v>45689</v>
      </c>
      <c r="N58" s="40"/>
      <c r="O58" s="40"/>
      <c r="P58" s="41" t="s">
        <v>22</v>
      </c>
      <c r="Q58" s="41"/>
      <c r="R58" s="41"/>
      <c r="S58" s="41"/>
      <c r="T58" s="41"/>
      <c r="U58" s="41"/>
      <c r="V58" s="41"/>
    </row>
    <row r="59" spans="2:22" ht="19.2" x14ac:dyDescent="0.45">
      <c r="B59" s="38"/>
      <c r="C59" s="38"/>
      <c r="D59" s="38"/>
      <c r="E59" s="39"/>
      <c r="F59" s="39"/>
      <c r="G59" s="39"/>
      <c r="H59" s="39"/>
      <c r="I59" s="39"/>
      <c r="J59" s="39"/>
      <c r="K59" s="39"/>
      <c r="L59" s="1"/>
      <c r="M59" s="40"/>
      <c r="N59" s="40"/>
      <c r="O59" s="40"/>
      <c r="P59" s="41"/>
      <c r="Q59" s="41"/>
      <c r="R59" s="41"/>
      <c r="S59" s="41"/>
      <c r="T59" s="41"/>
      <c r="U59" s="41"/>
      <c r="V59" s="41"/>
    </row>
    <row r="60" spans="2:22" ht="20.399999999999999" x14ac:dyDescent="0.45">
      <c r="B60" s="3" t="s">
        <v>23</v>
      </c>
      <c r="C60" s="3" t="s">
        <v>68</v>
      </c>
      <c r="D60" s="4" t="s">
        <v>25</v>
      </c>
      <c r="E60" s="4" t="s">
        <v>0</v>
      </c>
      <c r="F60" s="4" t="s">
        <v>26</v>
      </c>
      <c r="G60" s="4" t="s">
        <v>27</v>
      </c>
      <c r="H60" s="4" t="s">
        <v>1</v>
      </c>
      <c r="I60" s="4" t="s">
        <v>2</v>
      </c>
      <c r="J60" s="4" t="s">
        <v>3</v>
      </c>
      <c r="K60" s="4" t="s">
        <v>20</v>
      </c>
      <c r="L60" s="5"/>
      <c r="M60" s="6" t="s">
        <v>23</v>
      </c>
      <c r="N60" s="6" t="s">
        <v>68</v>
      </c>
      <c r="O60" s="7" t="s">
        <v>25</v>
      </c>
      <c r="P60" s="7" t="s">
        <v>0</v>
      </c>
      <c r="Q60" s="7" t="s">
        <v>26</v>
      </c>
      <c r="R60" s="7" t="s">
        <v>27</v>
      </c>
      <c r="S60" s="7" t="s">
        <v>1</v>
      </c>
      <c r="T60" s="7" t="s">
        <v>2</v>
      </c>
      <c r="U60" s="7" t="s">
        <v>3</v>
      </c>
      <c r="V60" s="7" t="s">
        <v>20</v>
      </c>
    </row>
    <row r="61" spans="2:22" ht="19.2" hidden="1" x14ac:dyDescent="0.4">
      <c r="B61" s="8" t="s">
        <v>64</v>
      </c>
      <c r="C61" s="8" t="s">
        <v>69</v>
      </c>
      <c r="D61" s="9">
        <v>0</v>
      </c>
      <c r="E61" s="9">
        <v>0</v>
      </c>
      <c r="F61" s="9">
        <v>7</v>
      </c>
      <c r="G61" s="9">
        <v>0</v>
      </c>
      <c r="H61" s="9">
        <v>0</v>
      </c>
      <c r="I61" s="9">
        <v>0</v>
      </c>
      <c r="J61" s="9">
        <v>0</v>
      </c>
      <c r="K61" s="10">
        <f>SUM(Table676771[[#This Row],[Bus ]:[Wheelchair]])</f>
        <v>7</v>
      </c>
      <c r="M61" s="8" t="s">
        <v>64</v>
      </c>
      <c r="N61" s="8" t="s">
        <v>69</v>
      </c>
      <c r="O61" s="9">
        <v>6</v>
      </c>
      <c r="P61" s="9">
        <v>0</v>
      </c>
      <c r="Q61" s="9">
        <v>2</v>
      </c>
      <c r="R61" s="9">
        <v>0</v>
      </c>
      <c r="S61" s="9">
        <v>0</v>
      </c>
      <c r="T61" s="9">
        <v>0</v>
      </c>
      <c r="U61" s="9">
        <v>0</v>
      </c>
      <c r="V61" s="10">
        <f>SUM(Table67676972[[#This Row],[Bus ]:[Wheelchair]])</f>
        <v>8</v>
      </c>
    </row>
    <row r="62" spans="2:22" ht="19.2" x14ac:dyDescent="0.4">
      <c r="B62" s="8" t="s">
        <v>44</v>
      </c>
      <c r="C62" s="8" t="s">
        <v>72</v>
      </c>
      <c r="D62" s="9">
        <v>0</v>
      </c>
      <c r="E62" s="9">
        <v>5</v>
      </c>
      <c r="F62" s="9">
        <v>4</v>
      </c>
      <c r="G62" s="9">
        <v>0</v>
      </c>
      <c r="H62" s="9">
        <v>0</v>
      </c>
      <c r="I62" s="9">
        <v>8</v>
      </c>
      <c r="J62" s="9">
        <v>0</v>
      </c>
      <c r="K62" s="10">
        <f>SUM(Table676771[[#This Row],[Bus ]:[Wheelchair]])</f>
        <v>17</v>
      </c>
      <c r="M62" s="8" t="s">
        <v>43</v>
      </c>
      <c r="N62" s="8" t="s">
        <v>72</v>
      </c>
      <c r="O62" s="9">
        <v>0</v>
      </c>
      <c r="P62" s="9">
        <v>23</v>
      </c>
      <c r="Q62" s="9">
        <v>0</v>
      </c>
      <c r="R62" s="9">
        <v>0</v>
      </c>
      <c r="S62" s="9">
        <v>0</v>
      </c>
      <c r="T62" s="9">
        <v>12</v>
      </c>
      <c r="U62" s="9">
        <v>0</v>
      </c>
      <c r="V62" s="10">
        <f>SUM(Table67676972[[#This Row],[Bus ]:[Wheelchair]])</f>
        <v>35</v>
      </c>
    </row>
    <row r="63" spans="2:22" ht="19.2" x14ac:dyDescent="0.4">
      <c r="B63" s="8" t="s">
        <v>33</v>
      </c>
      <c r="C63" s="8" t="s">
        <v>74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1</v>
      </c>
      <c r="J63" s="9">
        <v>0</v>
      </c>
      <c r="K63" s="10">
        <f>SUM(Table676771[[#This Row],[Bus ]:[Wheelchair]])</f>
        <v>1</v>
      </c>
      <c r="M63" s="8" t="s">
        <v>44</v>
      </c>
      <c r="N63" s="8" t="s">
        <v>72</v>
      </c>
      <c r="O63" s="9">
        <v>1</v>
      </c>
      <c r="P63" s="9">
        <v>8</v>
      </c>
      <c r="Q63" s="9">
        <v>6</v>
      </c>
      <c r="R63" s="9">
        <v>0</v>
      </c>
      <c r="S63" s="9">
        <v>0</v>
      </c>
      <c r="T63" s="9">
        <v>0</v>
      </c>
      <c r="U63" s="9">
        <v>0</v>
      </c>
      <c r="V63" s="10">
        <f>SUM(Table67676972[[#This Row],[Bus ]:[Wheelchair]])</f>
        <v>15</v>
      </c>
    </row>
    <row r="64" spans="2:22" ht="19.2" x14ac:dyDescent="0.4">
      <c r="B64" s="8" t="s">
        <v>104</v>
      </c>
      <c r="C64" s="8" t="s">
        <v>74</v>
      </c>
      <c r="D64" s="9">
        <v>0</v>
      </c>
      <c r="E64" s="9">
        <v>2</v>
      </c>
      <c r="F64" s="9">
        <v>0</v>
      </c>
      <c r="G64" s="9">
        <v>0</v>
      </c>
      <c r="H64" s="9">
        <v>0</v>
      </c>
      <c r="I64" s="9">
        <v>1</v>
      </c>
      <c r="J64" s="9">
        <v>0</v>
      </c>
      <c r="K64" s="10">
        <f>SUM(Table676771[[#This Row],[Bus ]:[Wheelchair]])</f>
        <v>3</v>
      </c>
      <c r="M64" s="8" t="s">
        <v>33</v>
      </c>
      <c r="N64" s="8" t="s">
        <v>74</v>
      </c>
      <c r="O64" s="9">
        <v>0</v>
      </c>
      <c r="P64" s="9">
        <v>2</v>
      </c>
      <c r="Q64" s="9">
        <v>1</v>
      </c>
      <c r="R64" s="9">
        <v>0</v>
      </c>
      <c r="S64" s="9">
        <v>0</v>
      </c>
      <c r="T64" s="9">
        <v>1</v>
      </c>
      <c r="U64" s="9">
        <v>0</v>
      </c>
      <c r="V64" s="10">
        <f>SUM(Table67676972[[#This Row],[Bus ]:[Wheelchair]])</f>
        <v>4</v>
      </c>
    </row>
    <row r="65" spans="2:22" ht="19.2" x14ac:dyDescent="0.4">
      <c r="B65" s="8" t="s">
        <v>38</v>
      </c>
      <c r="C65" s="8" t="s">
        <v>74</v>
      </c>
      <c r="D65" s="9">
        <v>0</v>
      </c>
      <c r="E65" s="9">
        <v>0</v>
      </c>
      <c r="F65" s="9">
        <v>0</v>
      </c>
      <c r="G65" s="9">
        <v>1</v>
      </c>
      <c r="H65" s="9">
        <v>0</v>
      </c>
      <c r="I65" s="9">
        <v>1</v>
      </c>
      <c r="J65" s="9">
        <v>0</v>
      </c>
      <c r="K65" s="10">
        <f>SUM(Table676771[[#This Row],[Bus ]:[Wheelchair]])</f>
        <v>2</v>
      </c>
      <c r="M65" s="8" t="s">
        <v>38</v>
      </c>
      <c r="N65" s="8" t="s">
        <v>74</v>
      </c>
      <c r="O65" s="9">
        <v>0</v>
      </c>
      <c r="P65" s="9">
        <v>10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0">
        <f>SUM(Table67676972[[#This Row],[Bus ]:[Wheelchair]])</f>
        <v>10</v>
      </c>
    </row>
    <row r="66" spans="2:22" ht="19.2" x14ac:dyDescent="0.4">
      <c r="B66" s="8" t="s">
        <v>105</v>
      </c>
      <c r="C66" s="8" t="s">
        <v>74</v>
      </c>
      <c r="D66" s="9">
        <v>0</v>
      </c>
      <c r="E66" s="9">
        <v>1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10">
        <f>SUM(Table676771[[#This Row],[Bus ]:[Wheelchair]])</f>
        <v>1</v>
      </c>
      <c r="M66" s="8" t="s">
        <v>106</v>
      </c>
      <c r="N66" s="8" t="s">
        <v>74</v>
      </c>
      <c r="O66" s="9">
        <v>0</v>
      </c>
      <c r="P66" s="9">
        <v>1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0">
        <f>SUM(Table67676972[[#This Row],[Bus ]:[Wheelchair]])</f>
        <v>1</v>
      </c>
    </row>
    <row r="67" spans="2:22" ht="19.2" x14ac:dyDescent="0.4">
      <c r="B67" s="8" t="s">
        <v>42</v>
      </c>
      <c r="C67" s="8" t="s">
        <v>74</v>
      </c>
      <c r="D67" s="9">
        <v>0</v>
      </c>
      <c r="E67" s="9">
        <v>18</v>
      </c>
      <c r="F67" s="9">
        <v>33</v>
      </c>
      <c r="G67" s="9">
        <v>0</v>
      </c>
      <c r="H67" s="9">
        <v>2</v>
      </c>
      <c r="I67" s="9">
        <v>70</v>
      </c>
      <c r="J67" s="9">
        <v>0</v>
      </c>
      <c r="K67" s="10">
        <f>SUM(Table676771[[#This Row],[Bus ]:[Wheelchair]])</f>
        <v>123</v>
      </c>
      <c r="M67" s="8" t="s">
        <v>105</v>
      </c>
      <c r="N67" s="8" t="s">
        <v>74</v>
      </c>
      <c r="O67" s="9">
        <v>0</v>
      </c>
      <c r="P67" s="9">
        <v>1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0">
        <f>SUM(Table67676972[[#This Row],[Bus ]:[Wheelchair]])</f>
        <v>1</v>
      </c>
    </row>
    <row r="68" spans="2:22" ht="19.2" x14ac:dyDescent="0.4">
      <c r="B68" s="8" t="s">
        <v>76</v>
      </c>
      <c r="C68" s="8" t="s">
        <v>74</v>
      </c>
      <c r="D68" s="9">
        <v>0</v>
      </c>
      <c r="E68" s="9">
        <v>2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10">
        <f>SUM(Table676771[[#This Row],[Bus ]:[Wheelchair]])</f>
        <v>2</v>
      </c>
      <c r="M68" s="8" t="s">
        <v>42</v>
      </c>
      <c r="N68" s="8" t="s">
        <v>74</v>
      </c>
      <c r="O68" s="9">
        <v>0</v>
      </c>
      <c r="P68" s="9">
        <v>48</v>
      </c>
      <c r="Q68" s="9">
        <v>18</v>
      </c>
      <c r="R68" s="9">
        <v>1</v>
      </c>
      <c r="S68" s="9">
        <v>0</v>
      </c>
      <c r="T68" s="9">
        <v>6</v>
      </c>
      <c r="U68" s="9">
        <v>0</v>
      </c>
      <c r="V68" s="10">
        <f>SUM(Table67676972[[#This Row],[Bus ]:[Wheelchair]])</f>
        <v>73</v>
      </c>
    </row>
    <row r="69" spans="2:22" ht="19.2" x14ac:dyDescent="0.4">
      <c r="B69" s="8" t="s">
        <v>52</v>
      </c>
      <c r="C69" s="8" t="s">
        <v>74</v>
      </c>
      <c r="D69" s="9">
        <v>0</v>
      </c>
      <c r="E69" s="9">
        <v>1</v>
      </c>
      <c r="F69" s="9">
        <v>8</v>
      </c>
      <c r="G69" s="9">
        <v>0</v>
      </c>
      <c r="H69" s="9">
        <v>0</v>
      </c>
      <c r="I69" s="9">
        <v>0</v>
      </c>
      <c r="J69" s="9">
        <v>0</v>
      </c>
      <c r="K69" s="10">
        <f>SUM(Table676771[[#This Row],[Bus ]:[Wheelchair]])</f>
        <v>9</v>
      </c>
      <c r="M69" s="8" t="s">
        <v>75</v>
      </c>
      <c r="N69" s="8" t="s">
        <v>74</v>
      </c>
      <c r="O69" s="9">
        <v>0</v>
      </c>
      <c r="P69" s="9">
        <v>0</v>
      </c>
      <c r="Q69" s="9">
        <v>19</v>
      </c>
      <c r="R69" s="9">
        <v>0</v>
      </c>
      <c r="S69" s="9">
        <v>0</v>
      </c>
      <c r="T69" s="9">
        <v>0</v>
      </c>
      <c r="U69" s="9">
        <v>0</v>
      </c>
      <c r="V69" s="10">
        <f>SUM(Table67676972[[#This Row],[Bus ]:[Wheelchair]])</f>
        <v>19</v>
      </c>
    </row>
    <row r="70" spans="2:22" ht="19.2" x14ac:dyDescent="0.4">
      <c r="B70" s="8" t="s">
        <v>56</v>
      </c>
      <c r="C70" s="8" t="s">
        <v>74</v>
      </c>
      <c r="D70" s="9">
        <v>0</v>
      </c>
      <c r="E70" s="9">
        <v>2</v>
      </c>
      <c r="F70" s="9">
        <v>0</v>
      </c>
      <c r="G70" s="9">
        <v>0</v>
      </c>
      <c r="H70" s="9">
        <v>6</v>
      </c>
      <c r="I70" s="9">
        <v>4</v>
      </c>
      <c r="J70" s="9">
        <v>0</v>
      </c>
      <c r="K70" s="10">
        <f>SUM(Table676771[[#This Row],[Bus ]:[Wheelchair]])</f>
        <v>12</v>
      </c>
      <c r="M70" s="8" t="s">
        <v>52</v>
      </c>
      <c r="N70" s="8" t="s">
        <v>74</v>
      </c>
      <c r="O70" s="9">
        <v>0</v>
      </c>
      <c r="P70" s="9">
        <v>3</v>
      </c>
      <c r="Q70" s="9">
        <v>6</v>
      </c>
      <c r="R70" s="9">
        <v>0</v>
      </c>
      <c r="S70" s="9">
        <v>0</v>
      </c>
      <c r="T70" s="9">
        <v>0</v>
      </c>
      <c r="U70" s="9">
        <v>0</v>
      </c>
      <c r="V70" s="10">
        <f>SUM(Table67676972[[#This Row],[Bus ]:[Wheelchair]])</f>
        <v>9</v>
      </c>
    </row>
    <row r="71" spans="2:22" ht="19.2" x14ac:dyDescent="0.4">
      <c r="B71" s="8" t="s">
        <v>59</v>
      </c>
      <c r="C71" s="8" t="s">
        <v>74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1</v>
      </c>
      <c r="J71" s="9">
        <v>0</v>
      </c>
      <c r="K71" s="10">
        <f>SUM(Table676771[[#This Row],[Bus ]:[Wheelchair]])</f>
        <v>1</v>
      </c>
      <c r="M71" s="8" t="s">
        <v>56</v>
      </c>
      <c r="N71" s="8" t="s">
        <v>74</v>
      </c>
      <c r="O71" s="9">
        <v>0</v>
      </c>
      <c r="P71" s="9">
        <v>2</v>
      </c>
      <c r="Q71" s="9">
        <v>1</v>
      </c>
      <c r="R71" s="9">
        <v>0</v>
      </c>
      <c r="S71" s="9">
        <v>0</v>
      </c>
      <c r="T71" s="9">
        <v>1</v>
      </c>
      <c r="U71" s="9">
        <v>0</v>
      </c>
      <c r="V71" s="10">
        <f>SUM(Table67676972[[#This Row],[Bus ]:[Wheelchair]])</f>
        <v>4</v>
      </c>
    </row>
    <row r="72" spans="2:22" ht="19.2" x14ac:dyDescent="0.4">
      <c r="B72" s="8" t="s">
        <v>60</v>
      </c>
      <c r="C72" s="8" t="s">
        <v>74</v>
      </c>
      <c r="D72" s="9">
        <v>0</v>
      </c>
      <c r="E72" s="9">
        <v>3</v>
      </c>
      <c r="F72" s="9">
        <v>4</v>
      </c>
      <c r="G72" s="9">
        <v>0</v>
      </c>
      <c r="H72" s="9">
        <v>0</v>
      </c>
      <c r="I72" s="9">
        <v>14</v>
      </c>
      <c r="J72" s="9">
        <v>1</v>
      </c>
      <c r="K72" s="10">
        <f>SUM(Table676771[[#This Row],[Bus ]:[Wheelchair]])</f>
        <v>22</v>
      </c>
      <c r="M72" s="8" t="s">
        <v>57</v>
      </c>
      <c r="N72" s="8" t="s">
        <v>74</v>
      </c>
      <c r="O72" s="9">
        <v>0</v>
      </c>
      <c r="P72" s="9">
        <v>3</v>
      </c>
      <c r="Q72" s="9">
        <v>3</v>
      </c>
      <c r="R72" s="9">
        <v>0</v>
      </c>
      <c r="S72" s="9">
        <v>0</v>
      </c>
      <c r="T72" s="9">
        <v>0</v>
      </c>
      <c r="U72" s="9">
        <v>0</v>
      </c>
      <c r="V72" s="10">
        <f>SUM(Table67676972[[#This Row],[Bus ]:[Wheelchair]])</f>
        <v>6</v>
      </c>
    </row>
    <row r="73" spans="2:22" ht="19.2" x14ac:dyDescent="0.4">
      <c r="B73" s="8" t="s">
        <v>88</v>
      </c>
      <c r="C73" s="8" t="s">
        <v>77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1</v>
      </c>
      <c r="J73" s="9">
        <v>0</v>
      </c>
      <c r="K73" s="10">
        <f>SUM(Table676771[[#This Row],[Bus ]:[Wheelchair]])</f>
        <v>1</v>
      </c>
      <c r="M73" s="8" t="s">
        <v>59</v>
      </c>
      <c r="N73" s="8" t="s">
        <v>74</v>
      </c>
      <c r="O73" s="9">
        <v>0</v>
      </c>
      <c r="P73" s="9">
        <v>0</v>
      </c>
      <c r="Q73" s="9">
        <v>2</v>
      </c>
      <c r="R73" s="9">
        <v>0</v>
      </c>
      <c r="S73" s="9">
        <v>0</v>
      </c>
      <c r="T73" s="9">
        <v>0</v>
      </c>
      <c r="U73" s="9">
        <v>0</v>
      </c>
      <c r="V73" s="10">
        <f>SUM(Table67676972[[#This Row],[Bus ]:[Wheelchair]])</f>
        <v>2</v>
      </c>
    </row>
    <row r="74" spans="2:22" ht="19.2" x14ac:dyDescent="0.4">
      <c r="B74" s="8" t="s">
        <v>110</v>
      </c>
      <c r="C74" s="8" t="s">
        <v>77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2</v>
      </c>
      <c r="J74" s="9">
        <v>0</v>
      </c>
      <c r="K74" s="10">
        <f>SUM(Table676771[[#This Row],[Bus ]:[Wheelchair]])</f>
        <v>2</v>
      </c>
      <c r="M74" s="8" t="s">
        <v>60</v>
      </c>
      <c r="N74" s="8" t="s">
        <v>74</v>
      </c>
      <c r="O74" s="9">
        <v>0</v>
      </c>
      <c r="P74" s="9">
        <v>2</v>
      </c>
      <c r="Q74" s="9">
        <v>7</v>
      </c>
      <c r="R74" s="9">
        <v>0</v>
      </c>
      <c r="S74" s="9">
        <v>0</v>
      </c>
      <c r="T74" s="9">
        <v>0</v>
      </c>
      <c r="U74" s="9">
        <v>0</v>
      </c>
      <c r="V74" s="10">
        <f>SUM(Table67676972[[#This Row],[Bus ]:[Wheelchair]])</f>
        <v>9</v>
      </c>
    </row>
    <row r="75" spans="2:22" ht="19.2" x14ac:dyDescent="0.4">
      <c r="B75" s="8" t="s">
        <v>111</v>
      </c>
      <c r="C75" s="8" t="s">
        <v>77</v>
      </c>
      <c r="D75" s="9">
        <v>0</v>
      </c>
      <c r="E75" s="9">
        <v>2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10">
        <f>SUM(Table676771[[#This Row],[Bus ]:[Wheelchair]])</f>
        <v>2</v>
      </c>
      <c r="M75" s="8" t="s">
        <v>112</v>
      </c>
      <c r="N75" s="8" t="s">
        <v>78</v>
      </c>
      <c r="O75" s="9">
        <v>0</v>
      </c>
      <c r="P75" s="9">
        <v>1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0">
        <f>SUM(Table67676972[[#This Row],[Bus ]:[Wheelchair]])</f>
        <v>1</v>
      </c>
    </row>
    <row r="76" spans="2:22" ht="19.2" x14ac:dyDescent="0.4">
      <c r="B76" s="8" t="s">
        <v>39</v>
      </c>
      <c r="C76" s="8" t="s">
        <v>79</v>
      </c>
      <c r="D76" s="9">
        <v>0</v>
      </c>
      <c r="E76" s="9">
        <v>1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10">
        <f>SUM(Table676771[[#This Row],[Bus ]:[Wheelchair]])</f>
        <v>1</v>
      </c>
      <c r="M76" s="8" t="s">
        <v>113</v>
      </c>
      <c r="N76" s="8" t="s">
        <v>78</v>
      </c>
      <c r="O76" s="9">
        <v>0</v>
      </c>
      <c r="P76" s="9">
        <v>0</v>
      </c>
      <c r="Q76" s="9">
        <v>2</v>
      </c>
      <c r="R76" s="9">
        <v>0</v>
      </c>
      <c r="S76" s="9">
        <v>0</v>
      </c>
      <c r="T76" s="9">
        <v>0</v>
      </c>
      <c r="U76" s="9">
        <v>0</v>
      </c>
      <c r="V76" s="10">
        <f>SUM(Table67676972[[#This Row],[Bus ]:[Wheelchair]])</f>
        <v>2</v>
      </c>
    </row>
    <row r="77" spans="2:22" ht="19.2" x14ac:dyDescent="0.4">
      <c r="B77" s="8" t="s">
        <v>94</v>
      </c>
      <c r="C77" s="8" t="s">
        <v>79</v>
      </c>
      <c r="D77" s="9">
        <v>0</v>
      </c>
      <c r="E77" s="9">
        <v>1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10">
        <f>SUM(Table676771[[#This Row],[Bus ]:[Wheelchair]])</f>
        <v>1</v>
      </c>
      <c r="M77" s="8" t="s">
        <v>63</v>
      </c>
      <c r="N77" s="8" t="s">
        <v>79</v>
      </c>
      <c r="O77" s="9">
        <v>0</v>
      </c>
      <c r="P77" s="9">
        <v>0</v>
      </c>
      <c r="Q77" s="9">
        <v>3</v>
      </c>
      <c r="R77" s="9">
        <v>0</v>
      </c>
      <c r="S77" s="9">
        <v>0</v>
      </c>
      <c r="T77" s="9">
        <v>0</v>
      </c>
      <c r="U77" s="9">
        <v>0</v>
      </c>
      <c r="V77" s="10">
        <f>SUM(Table67676972[[#This Row],[Bus ]:[Wheelchair]])</f>
        <v>3</v>
      </c>
    </row>
    <row r="78" spans="2:22" ht="19.2" x14ac:dyDescent="0.4">
      <c r="B78" s="8" t="s">
        <v>63</v>
      </c>
      <c r="C78" s="8" t="s">
        <v>79</v>
      </c>
      <c r="D78" s="9">
        <v>0</v>
      </c>
      <c r="E78" s="9">
        <v>7</v>
      </c>
      <c r="F78" s="9">
        <v>2</v>
      </c>
      <c r="G78" s="9">
        <v>0</v>
      </c>
      <c r="H78" s="9">
        <v>0</v>
      </c>
      <c r="I78" s="9">
        <v>0</v>
      </c>
      <c r="J78" s="9">
        <v>0</v>
      </c>
      <c r="K78" s="10">
        <f>SUM(Table676771[[#This Row],[Bus ]:[Wheelchair]])</f>
        <v>9</v>
      </c>
      <c r="M78" s="8" t="s">
        <v>48</v>
      </c>
      <c r="N78" s="8" t="s">
        <v>107</v>
      </c>
      <c r="O78" s="9">
        <v>0</v>
      </c>
      <c r="P78" s="9">
        <v>1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0">
        <f>SUM(Table67676972[[#This Row],[Bus ]:[Wheelchair]])</f>
        <v>1</v>
      </c>
    </row>
    <row r="79" spans="2:22" ht="19.2" x14ac:dyDescent="0.4">
      <c r="B79" s="8" t="s">
        <v>116</v>
      </c>
      <c r="C79" s="8" t="s">
        <v>108</v>
      </c>
      <c r="D79" s="9">
        <v>0</v>
      </c>
      <c r="E79" s="9">
        <v>0</v>
      </c>
      <c r="F79" s="9">
        <v>1</v>
      </c>
      <c r="G79" s="9">
        <v>0</v>
      </c>
      <c r="H79" s="9">
        <v>0</v>
      </c>
      <c r="I79" s="9">
        <v>8</v>
      </c>
      <c r="J79" s="9">
        <v>0</v>
      </c>
      <c r="K79" s="10">
        <f>SUM(Table676771[[#This Row],[Bus ]:[Wheelchair]])</f>
        <v>9</v>
      </c>
      <c r="M79" s="8" t="s">
        <v>117</v>
      </c>
      <c r="N79" s="8" t="s">
        <v>107</v>
      </c>
      <c r="O79" s="9">
        <v>0</v>
      </c>
      <c r="P79" s="9">
        <v>1</v>
      </c>
      <c r="Q79" s="9">
        <v>0</v>
      </c>
      <c r="R79" s="9">
        <v>0</v>
      </c>
      <c r="S79" s="9">
        <v>3</v>
      </c>
      <c r="T79" s="9">
        <v>0</v>
      </c>
      <c r="U79" s="9">
        <v>0</v>
      </c>
      <c r="V79" s="10">
        <f>SUM(Table67676972[[#This Row],[Bus ]:[Wheelchair]])</f>
        <v>4</v>
      </c>
    </row>
    <row r="80" spans="2:22" ht="19.2" x14ac:dyDescent="0.4">
      <c r="B80" s="8" t="s">
        <v>118</v>
      </c>
      <c r="C80" s="8" t="s">
        <v>109</v>
      </c>
      <c r="D80" s="9">
        <v>0</v>
      </c>
      <c r="E80" s="9">
        <v>1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10">
        <f>SUM(Table676771[[#This Row],[Bus ]:[Wheelchair]])</f>
        <v>1</v>
      </c>
      <c r="M80" s="8" t="s">
        <v>97</v>
      </c>
      <c r="N80" s="8" t="s">
        <v>81</v>
      </c>
      <c r="O80" s="9">
        <v>0</v>
      </c>
      <c r="P80" s="9">
        <v>0</v>
      </c>
      <c r="Q80" s="9">
        <v>1</v>
      </c>
      <c r="R80" s="9">
        <v>0</v>
      </c>
      <c r="S80" s="9">
        <v>0</v>
      </c>
      <c r="T80" s="9">
        <v>0</v>
      </c>
      <c r="U80" s="9">
        <v>0</v>
      </c>
      <c r="V80" s="10">
        <f>SUM(Table67676972[[#This Row],[Bus ]:[Wheelchair]])</f>
        <v>1</v>
      </c>
    </row>
    <row r="81" spans="2:22" ht="19.2" x14ac:dyDescent="0.4">
      <c r="B81" s="8" t="s">
        <v>32</v>
      </c>
      <c r="C81" s="8" t="s">
        <v>87</v>
      </c>
      <c r="D81" s="9">
        <v>0</v>
      </c>
      <c r="E81" s="9">
        <v>2</v>
      </c>
      <c r="F81" s="9">
        <v>17</v>
      </c>
      <c r="G81" s="9">
        <v>0</v>
      </c>
      <c r="H81" s="9">
        <v>0</v>
      </c>
      <c r="I81" s="9">
        <v>0</v>
      </c>
      <c r="J81" s="9">
        <v>0</v>
      </c>
      <c r="K81" s="10">
        <f>SUM(Table676771[[#This Row],[Bus ]:[Wheelchair]])</f>
        <v>19</v>
      </c>
      <c r="M81" s="8" t="s">
        <v>119</v>
      </c>
      <c r="N81" s="8" t="s">
        <v>83</v>
      </c>
      <c r="O81" s="9">
        <v>0</v>
      </c>
      <c r="P81" s="9">
        <v>1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0">
        <f>SUM(Table67676972[[#This Row],[Bus ]:[Wheelchair]])</f>
        <v>1</v>
      </c>
    </row>
    <row r="82" spans="2:22" ht="19.2" x14ac:dyDescent="0.4">
      <c r="B82" s="8" t="s">
        <v>46</v>
      </c>
      <c r="C82" s="8" t="s">
        <v>89</v>
      </c>
      <c r="D82" s="9">
        <v>0</v>
      </c>
      <c r="E82" s="9">
        <v>1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10">
        <f>SUM(Table676771[[#This Row],[Bus ]:[Wheelchair]])</f>
        <v>1</v>
      </c>
      <c r="M82" s="8" t="s">
        <v>120</v>
      </c>
      <c r="N82" s="8" t="s">
        <v>83</v>
      </c>
      <c r="O82" s="9">
        <v>0</v>
      </c>
      <c r="P82" s="9">
        <v>1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0">
        <f>SUM(Table67676972[[#This Row],[Bus ]:[Wheelchair]])</f>
        <v>1</v>
      </c>
    </row>
    <row r="83" spans="2:22" ht="19.2" x14ac:dyDescent="0.4">
      <c r="B83" s="8" t="s">
        <v>121</v>
      </c>
      <c r="C83" s="8" t="s">
        <v>114</v>
      </c>
      <c r="D83" s="9">
        <v>0</v>
      </c>
      <c r="E83" s="9">
        <v>2</v>
      </c>
      <c r="F83" s="9">
        <v>0</v>
      </c>
      <c r="G83" s="9">
        <v>0</v>
      </c>
      <c r="H83" s="9">
        <v>0</v>
      </c>
      <c r="I83" s="9">
        <v>3</v>
      </c>
      <c r="J83" s="9">
        <v>0</v>
      </c>
      <c r="K83" s="10">
        <f>SUM(Table676771[[#This Row],[Bus ]:[Wheelchair]])</f>
        <v>5</v>
      </c>
      <c r="M83" s="8" t="s">
        <v>32</v>
      </c>
      <c r="N83" s="8" t="s">
        <v>87</v>
      </c>
      <c r="O83" s="9">
        <v>0</v>
      </c>
      <c r="P83" s="9">
        <v>0</v>
      </c>
      <c r="Q83" s="9">
        <v>13</v>
      </c>
      <c r="R83" s="9">
        <v>0</v>
      </c>
      <c r="S83" s="9">
        <v>0</v>
      </c>
      <c r="T83" s="9">
        <v>0</v>
      </c>
      <c r="U83" s="9">
        <v>0</v>
      </c>
      <c r="V83" s="10">
        <f>SUM(Table67676972[[#This Row],[Bus ]:[Wheelchair]])</f>
        <v>13</v>
      </c>
    </row>
    <row r="84" spans="2:22" ht="19.2" x14ac:dyDescent="0.4">
      <c r="B84" s="8" t="s">
        <v>55</v>
      </c>
      <c r="C84" s="8" t="s">
        <v>92</v>
      </c>
      <c r="D84" s="9">
        <v>0</v>
      </c>
      <c r="E84" s="9">
        <v>65</v>
      </c>
      <c r="F84" s="9">
        <v>37</v>
      </c>
      <c r="G84" s="9">
        <v>0</v>
      </c>
      <c r="H84" s="9">
        <v>0</v>
      </c>
      <c r="I84" s="9">
        <v>175</v>
      </c>
      <c r="J84" s="9">
        <v>2</v>
      </c>
      <c r="K84" s="10">
        <f>SUM(Table676771[[#This Row],[Bus ]:[Wheelchair]])</f>
        <v>279</v>
      </c>
      <c r="M84" s="8" t="s">
        <v>122</v>
      </c>
      <c r="N84" s="8" t="s">
        <v>87</v>
      </c>
      <c r="O84" s="9">
        <v>0</v>
      </c>
      <c r="P84" s="9">
        <v>1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0">
        <f>SUM(Table67676972[[#This Row],[Bus ]:[Wheelchair]])</f>
        <v>1</v>
      </c>
    </row>
    <row r="85" spans="2:22" ht="19.2" x14ac:dyDescent="0.4">
      <c r="B85" s="8" t="s">
        <v>61</v>
      </c>
      <c r="C85" s="8" t="s">
        <v>92</v>
      </c>
      <c r="D85" s="9">
        <v>0</v>
      </c>
      <c r="E85" s="9">
        <v>4</v>
      </c>
      <c r="F85" s="9">
        <v>1</v>
      </c>
      <c r="G85" s="9">
        <v>0</v>
      </c>
      <c r="H85" s="9">
        <v>0</v>
      </c>
      <c r="I85" s="9">
        <v>0</v>
      </c>
      <c r="J85" s="9">
        <v>0</v>
      </c>
      <c r="K85" s="10">
        <f>SUM(Table676771[[#This Row],[Bus ]:[Wheelchair]])</f>
        <v>5</v>
      </c>
      <c r="M85" s="8" t="s">
        <v>121</v>
      </c>
      <c r="N85" s="8" t="s">
        <v>114</v>
      </c>
      <c r="O85" s="9">
        <v>0</v>
      </c>
      <c r="P85" s="9">
        <v>6</v>
      </c>
      <c r="Q85" s="9">
        <v>1</v>
      </c>
      <c r="R85" s="9">
        <v>0</v>
      </c>
      <c r="S85" s="9">
        <v>0</v>
      </c>
      <c r="T85" s="9">
        <v>1</v>
      </c>
      <c r="U85" s="9">
        <v>0</v>
      </c>
      <c r="V85" s="10">
        <f>SUM(Table67676972[[#This Row],[Bus ]:[Wheelchair]])</f>
        <v>8</v>
      </c>
    </row>
    <row r="86" spans="2:22" ht="19.2" x14ac:dyDescent="0.4">
      <c r="B86" s="8" t="s">
        <v>66</v>
      </c>
      <c r="C86" s="8" t="s">
        <v>92</v>
      </c>
      <c r="D86" s="9">
        <v>0</v>
      </c>
      <c r="E86" s="9">
        <v>2</v>
      </c>
      <c r="F86" s="9">
        <v>20</v>
      </c>
      <c r="G86" s="9">
        <v>0</v>
      </c>
      <c r="H86" s="9">
        <v>0</v>
      </c>
      <c r="I86" s="9">
        <v>1</v>
      </c>
      <c r="J86" s="9">
        <v>1</v>
      </c>
      <c r="K86" s="10">
        <f>SUM(Table676771[[#This Row],[Bus ]:[Wheelchair]])</f>
        <v>24</v>
      </c>
      <c r="M86" s="8" t="s">
        <v>123</v>
      </c>
      <c r="N86" s="8" t="s">
        <v>115</v>
      </c>
      <c r="O86" s="9">
        <v>0</v>
      </c>
      <c r="P86" s="9">
        <v>0</v>
      </c>
      <c r="Q86" s="9">
        <v>1</v>
      </c>
      <c r="R86" s="9">
        <v>0</v>
      </c>
      <c r="S86" s="9">
        <v>0</v>
      </c>
      <c r="T86" s="9">
        <v>0</v>
      </c>
      <c r="U86" s="9">
        <v>0</v>
      </c>
      <c r="V86" s="10">
        <f>SUM(Table67676972[[#This Row],[Bus ]:[Wheelchair]])</f>
        <v>1</v>
      </c>
    </row>
    <row r="87" spans="2:22" ht="20.399999999999999" x14ac:dyDescent="0.4">
      <c r="B87" s="27" t="s">
        <v>20</v>
      </c>
      <c r="C87" s="27"/>
      <c r="D87" s="28">
        <f>SUBTOTAL(109,Table676771[[Bus ]])</f>
        <v>0</v>
      </c>
      <c r="E87" s="28">
        <f>SUBTOTAL(109,Table676771[Cab])</f>
        <v>122</v>
      </c>
      <c r="F87" s="28">
        <f>SUBTOTAL(109,Table676771[GMR])</f>
        <v>127</v>
      </c>
      <c r="G87" s="28">
        <f>SUBTOTAL(109,Table676771[Public Entity])</f>
        <v>1</v>
      </c>
      <c r="H87" s="28">
        <f>SUBTOTAL(109,Table676771[Stretcher])</f>
        <v>8</v>
      </c>
      <c r="I87" s="28">
        <f>SUBTOTAL(109,Table676771[TNC Vendor])</f>
        <v>290</v>
      </c>
      <c r="J87" s="28">
        <f>SUBTOTAL(109,Table676771[Wheelchair])</f>
        <v>4</v>
      </c>
      <c r="K87" s="28">
        <f>SUBTOTAL(109,Table676771[Total])</f>
        <v>552</v>
      </c>
      <c r="M87" s="8" t="s">
        <v>36</v>
      </c>
      <c r="N87" s="8" t="s">
        <v>92</v>
      </c>
      <c r="O87" s="9">
        <v>0</v>
      </c>
      <c r="P87" s="9">
        <v>2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0">
        <f>SUM(Table67676972[[#This Row],[Bus ]:[Wheelchair]])</f>
        <v>2</v>
      </c>
    </row>
    <row r="88" spans="2:22" ht="19.2" x14ac:dyDescent="0.4">
      <c r="M88" s="8" t="s">
        <v>124</v>
      </c>
      <c r="N88" s="8" t="s">
        <v>92</v>
      </c>
      <c r="O88" s="9">
        <v>0</v>
      </c>
      <c r="P88" s="9">
        <v>5</v>
      </c>
      <c r="Q88" s="9">
        <v>1</v>
      </c>
      <c r="R88" s="9">
        <v>0</v>
      </c>
      <c r="S88" s="9">
        <v>0</v>
      </c>
      <c r="T88" s="9">
        <v>2</v>
      </c>
      <c r="U88" s="9">
        <v>0</v>
      </c>
      <c r="V88" s="10">
        <f>SUM(Table67676972[[#This Row],[Bus ]:[Wheelchair]])</f>
        <v>8</v>
      </c>
    </row>
    <row r="89" spans="2:22" ht="19.2" x14ac:dyDescent="0.4">
      <c r="M89" s="8" t="s">
        <v>55</v>
      </c>
      <c r="N89" s="8" t="s">
        <v>92</v>
      </c>
      <c r="O89" s="9">
        <v>0</v>
      </c>
      <c r="P89" s="9">
        <v>74</v>
      </c>
      <c r="Q89" s="9">
        <v>37</v>
      </c>
      <c r="R89" s="9">
        <v>1</v>
      </c>
      <c r="S89" s="9">
        <v>6</v>
      </c>
      <c r="T89" s="9">
        <v>20</v>
      </c>
      <c r="U89" s="9">
        <v>12</v>
      </c>
      <c r="V89" s="10">
        <f>SUM(Table67676972[[#This Row],[Bus ]:[Wheelchair]])</f>
        <v>150</v>
      </c>
    </row>
    <row r="90" spans="2:22" ht="19.2" x14ac:dyDescent="0.4">
      <c r="M90" s="8" t="s">
        <v>65</v>
      </c>
      <c r="N90" s="8" t="s">
        <v>92</v>
      </c>
      <c r="O90" s="9">
        <v>0</v>
      </c>
      <c r="P90" s="9">
        <v>0</v>
      </c>
      <c r="Q90" s="9">
        <v>4</v>
      </c>
      <c r="R90" s="9">
        <v>0</v>
      </c>
      <c r="S90" s="9">
        <v>0</v>
      </c>
      <c r="T90" s="9">
        <v>0</v>
      </c>
      <c r="U90" s="9">
        <v>0</v>
      </c>
      <c r="V90" s="10">
        <f>SUM(Table67676972[[#This Row],[Bus ]:[Wheelchair]])</f>
        <v>4</v>
      </c>
    </row>
    <row r="91" spans="2:22" ht="19.2" x14ac:dyDescent="0.4">
      <c r="M91" s="8" t="s">
        <v>66</v>
      </c>
      <c r="N91" s="8" t="s">
        <v>92</v>
      </c>
      <c r="O91" s="9">
        <v>0</v>
      </c>
      <c r="P91" s="9">
        <v>3</v>
      </c>
      <c r="Q91" s="9">
        <v>7</v>
      </c>
      <c r="R91" s="9">
        <v>0</v>
      </c>
      <c r="S91" s="9">
        <v>0</v>
      </c>
      <c r="T91" s="9">
        <v>0</v>
      </c>
      <c r="U91" s="9">
        <v>0</v>
      </c>
      <c r="V91" s="10">
        <f>SUM(Table67676972[[#This Row],[Bus ]:[Wheelchair]])</f>
        <v>10</v>
      </c>
    </row>
    <row r="92" spans="2:22" ht="20.399999999999999" x14ac:dyDescent="0.4">
      <c r="M92" s="31" t="s">
        <v>20</v>
      </c>
      <c r="N92" s="31"/>
      <c r="O92" s="32">
        <f>SUBTOTAL(109,Table67676972[[Bus ]])</f>
        <v>1</v>
      </c>
      <c r="P92" s="32">
        <f>SUBTOTAL(109,Table67676972[Cab])</f>
        <v>199</v>
      </c>
      <c r="Q92" s="32">
        <f>SUBTOTAL(109,Table67676972[GMR])</f>
        <v>133</v>
      </c>
      <c r="R92" s="32">
        <f>SUBTOTAL(109,Table67676972[Public Entity])</f>
        <v>2</v>
      </c>
      <c r="S92" s="32">
        <f>SUBTOTAL(109,Table67676972[Stretcher])</f>
        <v>9</v>
      </c>
      <c r="T92" s="32">
        <f>SUBTOTAL(109,Table67676972[TNC Vendor])</f>
        <v>43</v>
      </c>
      <c r="U92" s="32">
        <f>SUBTOTAL(109,Table67676972[Wheelchair])</f>
        <v>12</v>
      </c>
      <c r="V92" s="32">
        <f>SUBTOTAL(109,Table67676972[Total])</f>
        <v>399</v>
      </c>
    </row>
    <row r="93" spans="2:22" x14ac:dyDescent="0.4">
      <c r="V93" s="12"/>
    </row>
    <row r="94" spans="2:22" x14ac:dyDescent="0.4">
      <c r="V94" s="12"/>
    </row>
    <row r="95" spans="2:22" ht="19.2" x14ac:dyDescent="0.45">
      <c r="B95" s="38">
        <v>45352</v>
      </c>
      <c r="C95" s="38"/>
      <c r="D95" s="38"/>
      <c r="E95" s="39" t="s">
        <v>22</v>
      </c>
      <c r="F95" s="39"/>
      <c r="G95" s="39"/>
      <c r="H95" s="39"/>
      <c r="I95" s="39"/>
      <c r="J95" s="39"/>
      <c r="K95" s="39"/>
      <c r="L95" s="1"/>
      <c r="M95" s="40">
        <v>45717</v>
      </c>
      <c r="N95" s="40"/>
      <c r="O95" s="40"/>
      <c r="P95" s="41" t="s">
        <v>22</v>
      </c>
      <c r="Q95" s="41"/>
      <c r="R95" s="41"/>
      <c r="S95" s="41"/>
      <c r="T95" s="41"/>
      <c r="U95" s="41"/>
      <c r="V95" s="41"/>
    </row>
    <row r="96" spans="2:22" ht="19.2" x14ac:dyDescent="0.45">
      <c r="B96" s="38"/>
      <c r="C96" s="38"/>
      <c r="D96" s="38"/>
      <c r="E96" s="39"/>
      <c r="F96" s="39"/>
      <c r="G96" s="39"/>
      <c r="H96" s="39"/>
      <c r="I96" s="39"/>
      <c r="J96" s="39"/>
      <c r="K96" s="39"/>
      <c r="L96" s="1"/>
      <c r="M96" s="40"/>
      <c r="N96" s="40"/>
      <c r="O96" s="40"/>
      <c r="P96" s="41"/>
      <c r="Q96" s="41"/>
      <c r="R96" s="41"/>
      <c r="S96" s="41"/>
      <c r="T96" s="41"/>
      <c r="U96" s="41"/>
      <c r="V96" s="41"/>
    </row>
    <row r="97" spans="2:22" ht="20.399999999999999" x14ac:dyDescent="0.45">
      <c r="B97" s="3" t="s">
        <v>23</v>
      </c>
      <c r="C97" s="3" t="s">
        <v>68</v>
      </c>
      <c r="D97" s="4" t="s">
        <v>25</v>
      </c>
      <c r="E97" s="4" t="s">
        <v>0</v>
      </c>
      <c r="F97" s="4" t="s">
        <v>26</v>
      </c>
      <c r="G97" s="4" t="s">
        <v>27</v>
      </c>
      <c r="H97" s="4" t="s">
        <v>1</v>
      </c>
      <c r="I97" s="4" t="s">
        <v>2</v>
      </c>
      <c r="J97" s="4" t="s">
        <v>3</v>
      </c>
      <c r="K97" s="4" t="s">
        <v>20</v>
      </c>
      <c r="L97" s="5"/>
      <c r="M97" s="6" t="s">
        <v>23</v>
      </c>
      <c r="N97" s="6" t="s">
        <v>68</v>
      </c>
      <c r="O97" s="7" t="s">
        <v>25</v>
      </c>
      <c r="P97" s="7" t="s">
        <v>0</v>
      </c>
      <c r="Q97" s="7" t="s">
        <v>26</v>
      </c>
      <c r="R97" s="7" t="s">
        <v>27</v>
      </c>
      <c r="S97" s="7" t="s">
        <v>1</v>
      </c>
      <c r="T97" s="7" t="s">
        <v>2</v>
      </c>
      <c r="U97" s="7" t="s">
        <v>3</v>
      </c>
      <c r="V97" s="7" t="s">
        <v>20</v>
      </c>
    </row>
    <row r="98" spans="2:22" ht="19.2" hidden="1" x14ac:dyDescent="0.4">
      <c r="B98" s="8" t="s">
        <v>64</v>
      </c>
      <c r="C98" s="8" t="s">
        <v>69</v>
      </c>
      <c r="D98" s="9">
        <v>0</v>
      </c>
      <c r="E98" s="9">
        <v>0</v>
      </c>
      <c r="F98" s="9">
        <v>11</v>
      </c>
      <c r="G98" s="9">
        <v>0</v>
      </c>
      <c r="H98" s="9">
        <v>0</v>
      </c>
      <c r="I98" s="9">
        <v>0</v>
      </c>
      <c r="J98" s="9">
        <v>0</v>
      </c>
      <c r="K98" s="10">
        <f>SUM(Table67677174[[#This Row],[Bus ]:[Wheelchair]])</f>
        <v>11</v>
      </c>
      <c r="M98" s="8" t="s">
        <v>64</v>
      </c>
      <c r="N98" s="8" t="s">
        <v>69</v>
      </c>
      <c r="O98" s="9">
        <v>0</v>
      </c>
      <c r="P98" s="9">
        <v>0</v>
      </c>
      <c r="Q98" s="9">
        <v>3</v>
      </c>
      <c r="R98" s="9">
        <v>17</v>
      </c>
      <c r="S98" s="9">
        <v>1</v>
      </c>
      <c r="T98" s="9">
        <v>0</v>
      </c>
      <c r="U98" s="9">
        <v>0</v>
      </c>
      <c r="V98" s="10">
        <f>SUM(Table6767697275[[#This Row],[Bus ]:[Wheelchair]])</f>
        <v>21</v>
      </c>
    </row>
    <row r="99" spans="2:22" ht="19.2" x14ac:dyDescent="0.4">
      <c r="B99" s="8" t="s">
        <v>43</v>
      </c>
      <c r="C99" s="8" t="s">
        <v>72</v>
      </c>
      <c r="D99" s="9">
        <v>0</v>
      </c>
      <c r="E99" s="9">
        <v>1</v>
      </c>
      <c r="F99" s="9">
        <v>0</v>
      </c>
      <c r="G99" s="9">
        <v>0</v>
      </c>
      <c r="H99" s="9">
        <v>0</v>
      </c>
      <c r="I99" s="9">
        <v>2</v>
      </c>
      <c r="J99" s="9">
        <v>0</v>
      </c>
      <c r="K99" s="10">
        <f>SUM(Table67677174[[#This Row],[Bus ]:[Wheelchair]])</f>
        <v>3</v>
      </c>
      <c r="M99" s="8" t="s">
        <v>43</v>
      </c>
      <c r="N99" s="8" t="s">
        <v>72</v>
      </c>
      <c r="O99" s="9">
        <v>0</v>
      </c>
      <c r="P99" s="9">
        <v>52</v>
      </c>
      <c r="Q99" s="9">
        <v>0</v>
      </c>
      <c r="R99" s="9">
        <v>0</v>
      </c>
      <c r="S99" s="9">
        <v>0</v>
      </c>
      <c r="T99" s="9">
        <v>8</v>
      </c>
      <c r="U99" s="9">
        <v>0</v>
      </c>
      <c r="V99" s="10">
        <f>SUM(Table6767697275[[#This Row],[Bus ]:[Wheelchair]])</f>
        <v>60</v>
      </c>
    </row>
    <row r="100" spans="2:22" ht="19.2" x14ac:dyDescent="0.4">
      <c r="B100" s="8" t="s">
        <v>44</v>
      </c>
      <c r="C100" s="8" t="s">
        <v>72</v>
      </c>
      <c r="D100" s="9">
        <v>0</v>
      </c>
      <c r="E100" s="9">
        <v>2</v>
      </c>
      <c r="F100" s="9">
        <v>13</v>
      </c>
      <c r="G100" s="9">
        <v>0</v>
      </c>
      <c r="H100" s="9">
        <v>0</v>
      </c>
      <c r="I100" s="9">
        <v>4</v>
      </c>
      <c r="J100" s="9">
        <v>0</v>
      </c>
      <c r="K100" s="10">
        <f>SUM(Table67677174[[#This Row],[Bus ]:[Wheelchair]])</f>
        <v>19</v>
      </c>
      <c r="M100" s="8" t="s">
        <v>44</v>
      </c>
      <c r="N100" s="8" t="s">
        <v>72</v>
      </c>
      <c r="O100" s="9">
        <v>1</v>
      </c>
      <c r="P100" s="9">
        <v>5</v>
      </c>
      <c r="Q100" s="9">
        <v>6</v>
      </c>
      <c r="R100" s="9">
        <v>0</v>
      </c>
      <c r="S100" s="9">
        <v>0</v>
      </c>
      <c r="T100" s="9">
        <v>0</v>
      </c>
      <c r="U100" s="9">
        <v>2</v>
      </c>
      <c r="V100" s="10">
        <f>SUM(Table6767697275[[#This Row],[Bus ]:[Wheelchair]])</f>
        <v>14</v>
      </c>
    </row>
    <row r="101" spans="2:22" ht="19.2" x14ac:dyDescent="0.4">
      <c r="B101" s="8" t="s">
        <v>33</v>
      </c>
      <c r="C101" s="8" t="s">
        <v>74</v>
      </c>
      <c r="D101" s="9">
        <v>0</v>
      </c>
      <c r="E101" s="9">
        <v>0</v>
      </c>
      <c r="F101" s="9">
        <v>1</v>
      </c>
      <c r="G101" s="9">
        <v>0</v>
      </c>
      <c r="H101" s="9">
        <v>0</v>
      </c>
      <c r="I101" s="9">
        <v>1</v>
      </c>
      <c r="J101" s="9">
        <v>0</v>
      </c>
      <c r="K101" s="10">
        <f>SUM(Table67677174[[#This Row],[Bus ]:[Wheelchair]])</f>
        <v>2</v>
      </c>
      <c r="M101" s="8" t="s">
        <v>125</v>
      </c>
      <c r="N101" s="8" t="s">
        <v>72</v>
      </c>
      <c r="O101" s="9">
        <v>0</v>
      </c>
      <c r="P101" s="9">
        <v>1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0">
        <f>SUM(Table6767697275[[#This Row],[Bus ]:[Wheelchair]])</f>
        <v>1</v>
      </c>
    </row>
    <row r="102" spans="2:22" ht="19.2" x14ac:dyDescent="0.4">
      <c r="B102" s="8" t="s">
        <v>38</v>
      </c>
      <c r="C102" s="8" t="s">
        <v>74</v>
      </c>
      <c r="D102" s="9">
        <v>0</v>
      </c>
      <c r="E102" s="9">
        <v>0</v>
      </c>
      <c r="F102" s="9">
        <v>0</v>
      </c>
      <c r="G102" s="9">
        <v>1</v>
      </c>
      <c r="H102" s="9">
        <v>0</v>
      </c>
      <c r="I102" s="9">
        <v>1</v>
      </c>
      <c r="J102" s="9">
        <v>0</v>
      </c>
      <c r="K102" s="10">
        <f>SUM(Table67677174[[#This Row],[Bus ]:[Wheelchair]])</f>
        <v>2</v>
      </c>
      <c r="M102" s="8" t="s">
        <v>33</v>
      </c>
      <c r="N102" s="8" t="s">
        <v>74</v>
      </c>
      <c r="O102" s="9">
        <v>0</v>
      </c>
      <c r="P102" s="9">
        <v>4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0">
        <f>SUM(Table6767697275[[#This Row],[Bus ]:[Wheelchair]])</f>
        <v>4</v>
      </c>
    </row>
    <row r="103" spans="2:22" ht="19.2" x14ac:dyDescent="0.4">
      <c r="B103" s="8" t="s">
        <v>105</v>
      </c>
      <c r="C103" s="8" t="s">
        <v>74</v>
      </c>
      <c r="D103" s="9">
        <v>0</v>
      </c>
      <c r="E103" s="9">
        <v>3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10">
        <f>SUM(Table67677174[[#This Row],[Bus ]:[Wheelchair]])</f>
        <v>3</v>
      </c>
      <c r="M103" s="8" t="s">
        <v>126</v>
      </c>
      <c r="N103" s="8" t="s">
        <v>74</v>
      </c>
      <c r="O103" s="9">
        <v>0</v>
      </c>
      <c r="P103" s="9">
        <v>1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0">
        <f>SUM(Table6767697275[[#This Row],[Bus ]:[Wheelchair]])</f>
        <v>1</v>
      </c>
    </row>
    <row r="104" spans="2:22" ht="19.2" x14ac:dyDescent="0.4">
      <c r="B104" s="8" t="s">
        <v>42</v>
      </c>
      <c r="C104" s="8" t="s">
        <v>74</v>
      </c>
      <c r="D104" s="9">
        <v>0</v>
      </c>
      <c r="E104" s="9">
        <v>24</v>
      </c>
      <c r="F104" s="9">
        <v>23</v>
      </c>
      <c r="G104" s="9">
        <v>1</v>
      </c>
      <c r="H104" s="9">
        <v>2</v>
      </c>
      <c r="I104" s="9">
        <v>86</v>
      </c>
      <c r="J104" s="9">
        <v>0</v>
      </c>
      <c r="K104" s="10">
        <f>SUM(Table67677174[[#This Row],[Bus ]:[Wheelchair]])</f>
        <v>136</v>
      </c>
      <c r="M104" s="8" t="s">
        <v>38</v>
      </c>
      <c r="N104" s="8" t="s">
        <v>74</v>
      </c>
      <c r="O104" s="9">
        <v>0</v>
      </c>
      <c r="P104" s="9">
        <v>3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0">
        <f>SUM(Table6767697275[[#This Row],[Bus ]:[Wheelchair]])</f>
        <v>3</v>
      </c>
    </row>
    <row r="105" spans="2:22" ht="19.2" x14ac:dyDescent="0.4">
      <c r="B105" s="8" t="s">
        <v>75</v>
      </c>
      <c r="C105" s="8" t="s">
        <v>74</v>
      </c>
      <c r="D105" s="9">
        <v>0</v>
      </c>
      <c r="E105" s="9">
        <v>3</v>
      </c>
      <c r="F105" s="9">
        <v>0</v>
      </c>
      <c r="G105" s="9">
        <v>0</v>
      </c>
      <c r="H105" s="9">
        <v>0</v>
      </c>
      <c r="I105" s="9">
        <v>4</v>
      </c>
      <c r="J105" s="9">
        <v>0</v>
      </c>
      <c r="K105" s="10">
        <f>SUM(Table67677174[[#This Row],[Bus ]:[Wheelchair]])</f>
        <v>7</v>
      </c>
      <c r="M105" s="8" t="s">
        <v>106</v>
      </c>
      <c r="N105" s="8" t="s">
        <v>74</v>
      </c>
      <c r="O105" s="9">
        <v>0</v>
      </c>
      <c r="P105" s="9">
        <v>2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0">
        <f>SUM(Table6767697275[[#This Row],[Bus ]:[Wheelchair]])</f>
        <v>2</v>
      </c>
    </row>
    <row r="106" spans="2:22" ht="19.2" x14ac:dyDescent="0.4">
      <c r="B106" s="8" t="s">
        <v>52</v>
      </c>
      <c r="C106" s="8" t="s">
        <v>74</v>
      </c>
      <c r="D106" s="9">
        <v>0</v>
      </c>
      <c r="E106" s="9">
        <v>1</v>
      </c>
      <c r="F106" s="9">
        <v>14</v>
      </c>
      <c r="G106" s="9">
        <v>0</v>
      </c>
      <c r="H106" s="9">
        <v>0</v>
      </c>
      <c r="I106" s="9">
        <v>0</v>
      </c>
      <c r="J106" s="9">
        <v>0</v>
      </c>
      <c r="K106" s="10">
        <f>SUM(Table67677174[[#This Row],[Bus ]:[Wheelchair]])</f>
        <v>15</v>
      </c>
      <c r="M106" s="8" t="s">
        <v>105</v>
      </c>
      <c r="N106" s="8" t="s">
        <v>74</v>
      </c>
      <c r="O106" s="9">
        <v>0</v>
      </c>
      <c r="P106" s="9">
        <v>1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0">
        <f>SUM(Table6767697275[[#This Row],[Bus ]:[Wheelchair]])</f>
        <v>1</v>
      </c>
    </row>
    <row r="107" spans="2:22" ht="19.2" x14ac:dyDescent="0.4">
      <c r="B107" s="8" t="s">
        <v>56</v>
      </c>
      <c r="C107" s="8" t="s">
        <v>74</v>
      </c>
      <c r="D107" s="9">
        <v>0</v>
      </c>
      <c r="E107" s="9">
        <v>0</v>
      </c>
      <c r="F107" s="9">
        <v>4</v>
      </c>
      <c r="G107" s="9">
        <v>0</v>
      </c>
      <c r="H107" s="9">
        <v>0</v>
      </c>
      <c r="I107" s="9">
        <v>0</v>
      </c>
      <c r="J107" s="9">
        <v>0</v>
      </c>
      <c r="K107" s="10">
        <f>SUM(Table67677174[[#This Row],[Bus ]:[Wheelchair]])</f>
        <v>4</v>
      </c>
      <c r="M107" s="8" t="s">
        <v>42</v>
      </c>
      <c r="N107" s="8" t="s">
        <v>74</v>
      </c>
      <c r="O107" s="9">
        <v>0</v>
      </c>
      <c r="P107" s="9">
        <v>64</v>
      </c>
      <c r="Q107" s="9">
        <v>12</v>
      </c>
      <c r="R107" s="9">
        <v>4</v>
      </c>
      <c r="S107" s="9">
        <v>1</v>
      </c>
      <c r="T107" s="9">
        <v>4</v>
      </c>
      <c r="U107" s="9">
        <v>4</v>
      </c>
      <c r="V107" s="10">
        <f>SUM(Table6767697275[[#This Row],[Bus ]:[Wheelchair]])</f>
        <v>89</v>
      </c>
    </row>
    <row r="108" spans="2:22" ht="19.2" x14ac:dyDescent="0.4">
      <c r="B108" s="8" t="s">
        <v>60</v>
      </c>
      <c r="C108" s="8" t="s">
        <v>74</v>
      </c>
      <c r="D108" s="9">
        <v>0</v>
      </c>
      <c r="E108" s="9">
        <v>0</v>
      </c>
      <c r="F108" s="9">
        <v>5</v>
      </c>
      <c r="G108" s="9">
        <v>0</v>
      </c>
      <c r="H108" s="9">
        <v>0</v>
      </c>
      <c r="I108" s="9">
        <v>4</v>
      </c>
      <c r="J108" s="9">
        <v>0</v>
      </c>
      <c r="K108" s="10">
        <f>SUM(Table67677174[[#This Row],[Bus ]:[Wheelchair]])</f>
        <v>9</v>
      </c>
      <c r="M108" s="8" t="s">
        <v>75</v>
      </c>
      <c r="N108" s="8" t="s">
        <v>74</v>
      </c>
      <c r="O108" s="9">
        <v>0</v>
      </c>
      <c r="P108" s="9">
        <v>0</v>
      </c>
      <c r="Q108" s="9">
        <v>20</v>
      </c>
      <c r="R108" s="9">
        <v>0</v>
      </c>
      <c r="S108" s="9">
        <v>0</v>
      </c>
      <c r="T108" s="9">
        <v>0</v>
      </c>
      <c r="U108" s="9">
        <v>0</v>
      </c>
      <c r="V108" s="10">
        <f>SUM(Table6767697275[[#This Row],[Bus ]:[Wheelchair]])</f>
        <v>20</v>
      </c>
    </row>
    <row r="109" spans="2:22" ht="19.2" x14ac:dyDescent="0.4">
      <c r="B109" s="8" t="s">
        <v>129</v>
      </c>
      <c r="C109" s="8" t="s">
        <v>78</v>
      </c>
      <c r="D109" s="9">
        <v>0</v>
      </c>
      <c r="E109" s="9">
        <v>0</v>
      </c>
      <c r="F109" s="9">
        <v>2</v>
      </c>
      <c r="G109" s="9">
        <v>0</v>
      </c>
      <c r="H109" s="9">
        <v>0</v>
      </c>
      <c r="I109" s="9">
        <v>0</v>
      </c>
      <c r="J109" s="9">
        <v>0</v>
      </c>
      <c r="K109" s="10">
        <f>SUM(Table67677174[[#This Row],[Bus ]:[Wheelchair]])</f>
        <v>2</v>
      </c>
      <c r="M109" s="8" t="s">
        <v>130</v>
      </c>
      <c r="N109" s="8" t="s">
        <v>74</v>
      </c>
      <c r="O109" s="9">
        <v>0</v>
      </c>
      <c r="P109" s="9">
        <v>0</v>
      </c>
      <c r="Q109" s="9">
        <v>0</v>
      </c>
      <c r="R109" s="9">
        <v>0</v>
      </c>
      <c r="S109" s="9">
        <v>1</v>
      </c>
      <c r="T109" s="9">
        <v>0</v>
      </c>
      <c r="U109" s="9">
        <v>0</v>
      </c>
      <c r="V109" s="10">
        <f>SUM(Table6767697275[[#This Row],[Bus ]:[Wheelchair]])</f>
        <v>1</v>
      </c>
    </row>
    <row r="110" spans="2:22" ht="19.2" x14ac:dyDescent="0.4">
      <c r="B110" s="8" t="s">
        <v>39</v>
      </c>
      <c r="C110" s="8" t="s">
        <v>79</v>
      </c>
      <c r="D110" s="9">
        <v>0</v>
      </c>
      <c r="E110" s="9">
        <v>1</v>
      </c>
      <c r="F110" s="9">
        <v>1</v>
      </c>
      <c r="G110" s="9">
        <v>0</v>
      </c>
      <c r="H110" s="9">
        <v>0</v>
      </c>
      <c r="I110" s="9">
        <v>0</v>
      </c>
      <c r="J110" s="9">
        <v>0</v>
      </c>
      <c r="K110" s="10">
        <f>SUM(Table67677174[[#This Row],[Bus ]:[Wheelchair]])</f>
        <v>2</v>
      </c>
      <c r="M110" s="8" t="s">
        <v>52</v>
      </c>
      <c r="N110" s="8" t="s">
        <v>74</v>
      </c>
      <c r="O110" s="9">
        <v>0</v>
      </c>
      <c r="P110" s="9">
        <v>16</v>
      </c>
      <c r="Q110" s="9">
        <v>6</v>
      </c>
      <c r="R110" s="9">
        <v>0</v>
      </c>
      <c r="S110" s="9">
        <v>0</v>
      </c>
      <c r="T110" s="9">
        <v>0</v>
      </c>
      <c r="U110" s="9">
        <v>0</v>
      </c>
      <c r="V110" s="10">
        <f>SUM(Table6767697275[[#This Row],[Bus ]:[Wheelchair]])</f>
        <v>22</v>
      </c>
    </row>
    <row r="111" spans="2:22" ht="19.2" x14ac:dyDescent="0.4">
      <c r="B111" s="8" t="s">
        <v>40</v>
      </c>
      <c r="C111" s="8" t="s">
        <v>79</v>
      </c>
      <c r="D111" s="9">
        <v>0</v>
      </c>
      <c r="E111" s="9">
        <v>0</v>
      </c>
      <c r="F111" s="9">
        <v>1</v>
      </c>
      <c r="G111" s="9">
        <v>0</v>
      </c>
      <c r="H111" s="9">
        <v>0</v>
      </c>
      <c r="I111" s="9">
        <v>0</v>
      </c>
      <c r="J111" s="9">
        <v>0</v>
      </c>
      <c r="K111" s="10">
        <f>SUM(Table67677174[[#This Row],[Bus ]:[Wheelchair]])</f>
        <v>1</v>
      </c>
      <c r="M111" s="8" t="s">
        <v>56</v>
      </c>
      <c r="N111" s="8" t="s">
        <v>74</v>
      </c>
      <c r="O111" s="9">
        <v>0</v>
      </c>
      <c r="P111" s="9">
        <v>0</v>
      </c>
      <c r="Q111" s="9">
        <v>5</v>
      </c>
      <c r="R111" s="9">
        <v>0</v>
      </c>
      <c r="S111" s="9">
        <v>0</v>
      </c>
      <c r="T111" s="9">
        <v>3</v>
      </c>
      <c r="U111" s="9">
        <v>0</v>
      </c>
      <c r="V111" s="10">
        <f>SUM(Table6767697275[[#This Row],[Bus ]:[Wheelchair]])</f>
        <v>8</v>
      </c>
    </row>
    <row r="112" spans="2:22" ht="19.2" x14ac:dyDescent="0.4">
      <c r="B112" s="8" t="s">
        <v>63</v>
      </c>
      <c r="C112" s="8" t="s">
        <v>79</v>
      </c>
      <c r="D112" s="9">
        <v>0</v>
      </c>
      <c r="E112" s="9">
        <v>6</v>
      </c>
      <c r="F112" s="9">
        <v>1</v>
      </c>
      <c r="G112" s="9">
        <v>0</v>
      </c>
      <c r="H112" s="9">
        <v>0</v>
      </c>
      <c r="I112" s="9">
        <v>0</v>
      </c>
      <c r="J112" s="9">
        <v>2</v>
      </c>
      <c r="K112" s="10">
        <f>SUM(Table67677174[[#This Row],[Bus ]:[Wheelchair]])</f>
        <v>9</v>
      </c>
      <c r="M112" s="8" t="s">
        <v>57</v>
      </c>
      <c r="N112" s="8" t="s">
        <v>74</v>
      </c>
      <c r="O112" s="9">
        <v>0</v>
      </c>
      <c r="P112" s="9">
        <v>1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0">
        <f>SUM(Table6767697275[[#This Row],[Bus ]:[Wheelchair]])</f>
        <v>1</v>
      </c>
    </row>
    <row r="113" spans="2:22" ht="19.2" x14ac:dyDescent="0.4">
      <c r="B113" s="8" t="s">
        <v>53</v>
      </c>
      <c r="C113" s="8" t="s">
        <v>81</v>
      </c>
      <c r="D113" s="9">
        <v>0</v>
      </c>
      <c r="E113" s="9">
        <v>0</v>
      </c>
      <c r="F113" s="9">
        <v>2</v>
      </c>
      <c r="G113" s="9">
        <v>0</v>
      </c>
      <c r="H113" s="9">
        <v>0</v>
      </c>
      <c r="I113" s="9">
        <v>0</v>
      </c>
      <c r="J113" s="9">
        <v>0</v>
      </c>
      <c r="K113" s="10">
        <f>SUM(Table67677174[[#This Row],[Bus ]:[Wheelchair]])</f>
        <v>2</v>
      </c>
      <c r="M113" s="8" t="s">
        <v>131</v>
      </c>
      <c r="N113" s="8" t="s">
        <v>74</v>
      </c>
      <c r="O113" s="9">
        <v>0</v>
      </c>
      <c r="P113" s="9">
        <v>0</v>
      </c>
      <c r="Q113" s="9">
        <v>3</v>
      </c>
      <c r="R113" s="9">
        <v>0</v>
      </c>
      <c r="S113" s="9">
        <v>0</v>
      </c>
      <c r="T113" s="9">
        <v>0</v>
      </c>
      <c r="U113" s="9">
        <v>0</v>
      </c>
      <c r="V113" s="10">
        <f>SUM(Table6767697275[[#This Row],[Bus ]:[Wheelchair]])</f>
        <v>3</v>
      </c>
    </row>
    <row r="114" spans="2:22" ht="19.2" x14ac:dyDescent="0.4">
      <c r="B114" s="8" t="s">
        <v>32</v>
      </c>
      <c r="C114" s="8" t="s">
        <v>87</v>
      </c>
      <c r="D114" s="9">
        <v>0</v>
      </c>
      <c r="E114" s="9">
        <v>0</v>
      </c>
      <c r="F114" s="9">
        <v>20</v>
      </c>
      <c r="G114" s="9">
        <v>0</v>
      </c>
      <c r="H114" s="9">
        <v>0</v>
      </c>
      <c r="I114" s="9">
        <v>0</v>
      </c>
      <c r="J114" s="9">
        <v>0</v>
      </c>
      <c r="K114" s="10">
        <f>SUM(Table67677174[[#This Row],[Bus ]:[Wheelchair]])</f>
        <v>20</v>
      </c>
      <c r="M114" s="8" t="s">
        <v>59</v>
      </c>
      <c r="N114" s="8" t="s">
        <v>74</v>
      </c>
      <c r="O114" s="9">
        <v>0</v>
      </c>
      <c r="P114" s="9">
        <v>2</v>
      </c>
      <c r="Q114" s="9">
        <v>3</v>
      </c>
      <c r="R114" s="9">
        <v>0</v>
      </c>
      <c r="S114" s="9">
        <v>0</v>
      </c>
      <c r="T114" s="9">
        <v>2</v>
      </c>
      <c r="U114" s="9">
        <v>0</v>
      </c>
      <c r="V114" s="10">
        <f>SUM(Table6767697275[[#This Row],[Bus ]:[Wheelchair]])</f>
        <v>7</v>
      </c>
    </row>
    <row r="115" spans="2:22" ht="19.2" x14ac:dyDescent="0.4">
      <c r="B115" s="8" t="s">
        <v>46</v>
      </c>
      <c r="C115" s="8" t="s">
        <v>89</v>
      </c>
      <c r="D115" s="9">
        <v>0</v>
      </c>
      <c r="E115" s="9">
        <v>1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10">
        <f>SUM(Table67677174[[#This Row],[Bus ]:[Wheelchair]])</f>
        <v>1</v>
      </c>
      <c r="M115" s="8" t="s">
        <v>60</v>
      </c>
      <c r="N115" s="8" t="s">
        <v>74</v>
      </c>
      <c r="O115" s="9">
        <v>0</v>
      </c>
      <c r="P115" s="9">
        <v>15</v>
      </c>
      <c r="Q115" s="9">
        <v>18</v>
      </c>
      <c r="R115" s="9">
        <v>0</v>
      </c>
      <c r="S115" s="9">
        <v>0</v>
      </c>
      <c r="T115" s="9">
        <v>5</v>
      </c>
      <c r="U115" s="9">
        <v>0</v>
      </c>
      <c r="V115" s="10">
        <f>SUM(Table6767697275[[#This Row],[Bus ]:[Wheelchair]])</f>
        <v>38</v>
      </c>
    </row>
    <row r="116" spans="2:22" ht="19.2" x14ac:dyDescent="0.4">
      <c r="B116" s="8" t="s">
        <v>121</v>
      </c>
      <c r="C116" s="8" t="s">
        <v>114</v>
      </c>
      <c r="D116" s="9">
        <v>0</v>
      </c>
      <c r="E116" s="9">
        <v>1</v>
      </c>
      <c r="F116" s="9">
        <v>2</v>
      </c>
      <c r="G116" s="9">
        <v>0</v>
      </c>
      <c r="H116" s="9">
        <v>0</v>
      </c>
      <c r="I116" s="9">
        <v>2</v>
      </c>
      <c r="J116" s="9">
        <v>0</v>
      </c>
      <c r="K116" s="10">
        <f>SUM(Table67677174[[#This Row],[Bus ]:[Wheelchair]])</f>
        <v>5</v>
      </c>
      <c r="M116" s="8" t="s">
        <v>111</v>
      </c>
      <c r="N116" s="8" t="s">
        <v>77</v>
      </c>
      <c r="O116" s="9">
        <v>0</v>
      </c>
      <c r="P116" s="9">
        <v>1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0">
        <f>SUM(Table6767697275[[#This Row],[Bus ]:[Wheelchair]])</f>
        <v>1</v>
      </c>
    </row>
    <row r="117" spans="2:22" ht="19.2" x14ac:dyDescent="0.4">
      <c r="B117" s="8" t="s">
        <v>132</v>
      </c>
      <c r="C117" s="8" t="s">
        <v>115</v>
      </c>
      <c r="D117" s="9">
        <v>0</v>
      </c>
      <c r="E117" s="9">
        <v>0</v>
      </c>
      <c r="F117" s="9">
        <v>2</v>
      </c>
      <c r="G117" s="9">
        <v>0</v>
      </c>
      <c r="H117" s="9">
        <v>0</v>
      </c>
      <c r="I117" s="9">
        <v>0</v>
      </c>
      <c r="J117" s="9">
        <v>0</v>
      </c>
      <c r="K117" s="10">
        <f>SUM(Table67677174[[#This Row],[Bus ]:[Wheelchair]])</f>
        <v>2</v>
      </c>
      <c r="M117" s="8" t="s">
        <v>112</v>
      </c>
      <c r="N117" s="8" t="s">
        <v>78</v>
      </c>
      <c r="O117" s="9">
        <v>0</v>
      </c>
      <c r="P117" s="9">
        <v>15</v>
      </c>
      <c r="Q117" s="9">
        <v>0</v>
      </c>
      <c r="R117" s="9">
        <v>0</v>
      </c>
      <c r="S117" s="9">
        <v>0</v>
      </c>
      <c r="T117" s="9">
        <v>2</v>
      </c>
      <c r="U117" s="9">
        <v>0</v>
      </c>
      <c r="V117" s="10">
        <f>SUM(Table6767697275[[#This Row],[Bus ]:[Wheelchair]])</f>
        <v>17</v>
      </c>
    </row>
    <row r="118" spans="2:22" ht="19.2" x14ac:dyDescent="0.4">
      <c r="B118" s="8" t="s">
        <v>101</v>
      </c>
      <c r="C118" s="8" t="s">
        <v>92</v>
      </c>
      <c r="D118" s="9">
        <v>0</v>
      </c>
      <c r="E118" s="9">
        <v>1</v>
      </c>
      <c r="F118" s="9">
        <v>2</v>
      </c>
      <c r="G118" s="9">
        <v>0</v>
      </c>
      <c r="H118" s="9">
        <v>0</v>
      </c>
      <c r="I118" s="9">
        <v>0</v>
      </c>
      <c r="J118" s="9">
        <v>0</v>
      </c>
      <c r="K118" s="10">
        <f>SUM(Table67677174[[#This Row],[Bus ]:[Wheelchair]])</f>
        <v>3</v>
      </c>
      <c r="M118" s="8" t="s">
        <v>113</v>
      </c>
      <c r="N118" s="8" t="s">
        <v>78</v>
      </c>
      <c r="O118" s="9">
        <v>0</v>
      </c>
      <c r="P118" s="9">
        <v>1</v>
      </c>
      <c r="Q118" s="9">
        <v>1</v>
      </c>
      <c r="R118" s="9">
        <v>0</v>
      </c>
      <c r="S118" s="9">
        <v>0</v>
      </c>
      <c r="T118" s="9">
        <v>0</v>
      </c>
      <c r="U118" s="9">
        <v>0</v>
      </c>
      <c r="V118" s="10">
        <f>SUM(Table6767697275[[#This Row],[Bus ]:[Wheelchair]])</f>
        <v>2</v>
      </c>
    </row>
    <row r="119" spans="2:22" ht="19.2" x14ac:dyDescent="0.4">
      <c r="B119" s="8" t="s">
        <v>55</v>
      </c>
      <c r="C119" s="8" t="s">
        <v>92</v>
      </c>
      <c r="D119" s="9">
        <v>0</v>
      </c>
      <c r="E119" s="9">
        <v>43</v>
      </c>
      <c r="F119" s="9">
        <v>37</v>
      </c>
      <c r="G119" s="9">
        <v>1</v>
      </c>
      <c r="H119" s="9">
        <v>4</v>
      </c>
      <c r="I119" s="9">
        <v>67</v>
      </c>
      <c r="J119" s="9">
        <v>5</v>
      </c>
      <c r="K119" s="10">
        <f>SUM(Table67677174[[#This Row],[Bus ]:[Wheelchair]])</f>
        <v>157</v>
      </c>
      <c r="M119" s="8" t="s">
        <v>134</v>
      </c>
      <c r="N119" s="8" t="s">
        <v>127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1</v>
      </c>
      <c r="U119" s="9">
        <v>0</v>
      </c>
      <c r="V119" s="10">
        <f>SUM(Table6767697275[[#This Row],[Bus ]:[Wheelchair]])</f>
        <v>1</v>
      </c>
    </row>
    <row r="120" spans="2:22" ht="19.2" x14ac:dyDescent="0.4">
      <c r="B120" s="8" t="s">
        <v>135</v>
      </c>
      <c r="C120" s="8" t="s">
        <v>92</v>
      </c>
      <c r="D120" s="9">
        <v>0</v>
      </c>
      <c r="E120" s="9">
        <v>0</v>
      </c>
      <c r="F120" s="9">
        <v>1</v>
      </c>
      <c r="G120" s="9">
        <v>0</v>
      </c>
      <c r="H120" s="9">
        <v>0</v>
      </c>
      <c r="I120" s="9">
        <v>0</v>
      </c>
      <c r="J120" s="9">
        <v>0</v>
      </c>
      <c r="K120" s="10">
        <f>SUM(Table67677174[[#This Row],[Bus ]:[Wheelchair]])</f>
        <v>1</v>
      </c>
      <c r="M120" s="8" t="s">
        <v>63</v>
      </c>
      <c r="N120" s="8" t="s">
        <v>79</v>
      </c>
      <c r="O120" s="9">
        <v>0</v>
      </c>
      <c r="P120" s="9">
        <v>0</v>
      </c>
      <c r="Q120" s="9">
        <v>7</v>
      </c>
      <c r="R120" s="9">
        <v>0</v>
      </c>
      <c r="S120" s="9">
        <v>0</v>
      </c>
      <c r="T120" s="9">
        <v>0</v>
      </c>
      <c r="U120" s="9">
        <v>0</v>
      </c>
      <c r="V120" s="10">
        <f>SUM(Table6767697275[[#This Row],[Bus ]:[Wheelchair]])</f>
        <v>7</v>
      </c>
    </row>
    <row r="121" spans="2:22" ht="19.2" x14ac:dyDescent="0.4">
      <c r="B121" s="8" t="s">
        <v>66</v>
      </c>
      <c r="C121" s="8" t="s">
        <v>92</v>
      </c>
      <c r="D121" s="9">
        <v>0</v>
      </c>
      <c r="E121" s="9">
        <v>1</v>
      </c>
      <c r="F121" s="9">
        <v>15</v>
      </c>
      <c r="G121" s="9">
        <v>0</v>
      </c>
      <c r="H121" s="9">
        <v>0</v>
      </c>
      <c r="I121" s="9">
        <v>0</v>
      </c>
      <c r="J121" s="9">
        <v>0</v>
      </c>
      <c r="K121" s="10">
        <f>SUM(Table67677174[[#This Row],[Bus ]:[Wheelchair]])</f>
        <v>16</v>
      </c>
      <c r="M121" s="8" t="s">
        <v>97</v>
      </c>
      <c r="N121" s="8" t="s">
        <v>81</v>
      </c>
      <c r="O121" s="9">
        <v>0</v>
      </c>
      <c r="P121" s="9">
        <v>0</v>
      </c>
      <c r="Q121" s="9">
        <v>1</v>
      </c>
      <c r="R121" s="9">
        <v>0</v>
      </c>
      <c r="S121" s="9">
        <v>0</v>
      </c>
      <c r="T121" s="9">
        <v>0</v>
      </c>
      <c r="U121" s="9">
        <v>0</v>
      </c>
      <c r="V121" s="10">
        <f>SUM(Table6767697275[[#This Row],[Bus ]:[Wheelchair]])</f>
        <v>1</v>
      </c>
    </row>
    <row r="122" spans="2:22" ht="19.2" x14ac:dyDescent="0.4">
      <c r="B122" s="8" t="s">
        <v>136</v>
      </c>
      <c r="C122" s="8" t="s">
        <v>133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1</v>
      </c>
      <c r="J122" s="9">
        <v>0</v>
      </c>
      <c r="K122" s="10">
        <f>SUM(Table67677174[[#This Row],[Bus ]:[Wheelchair]])</f>
        <v>1</v>
      </c>
      <c r="M122" s="8" t="s">
        <v>137</v>
      </c>
      <c r="N122" s="8" t="s">
        <v>83</v>
      </c>
      <c r="O122" s="9">
        <v>0</v>
      </c>
      <c r="P122" s="9">
        <v>1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0">
        <f>SUM(Table6767697275[[#This Row],[Bus ]:[Wheelchair]])</f>
        <v>1</v>
      </c>
    </row>
    <row r="123" spans="2:22" ht="19.2" x14ac:dyDescent="0.4">
      <c r="B123" s="8" t="s">
        <v>102</v>
      </c>
      <c r="C123" s="8" t="s">
        <v>96</v>
      </c>
      <c r="D123" s="9">
        <v>0</v>
      </c>
      <c r="E123" s="9">
        <v>2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10">
        <f>SUM(Table67677174[[#This Row],[Bus ]:[Wheelchair]])</f>
        <v>2</v>
      </c>
      <c r="M123" s="8" t="s">
        <v>32</v>
      </c>
      <c r="N123" s="8" t="s">
        <v>87</v>
      </c>
      <c r="O123" s="9">
        <v>0</v>
      </c>
      <c r="P123" s="9">
        <v>4</v>
      </c>
      <c r="Q123" s="9">
        <v>12</v>
      </c>
      <c r="R123" s="9">
        <v>1</v>
      </c>
      <c r="S123" s="9">
        <v>0</v>
      </c>
      <c r="T123" s="9">
        <v>1</v>
      </c>
      <c r="U123" s="9">
        <v>0</v>
      </c>
      <c r="V123" s="10">
        <f>SUM(Table6767697275[[#This Row],[Bus ]:[Wheelchair]])</f>
        <v>18</v>
      </c>
    </row>
    <row r="124" spans="2:22" ht="20.399999999999999" x14ac:dyDescent="0.4">
      <c r="B124" s="27" t="s">
        <v>20</v>
      </c>
      <c r="C124" s="27"/>
      <c r="D124" s="28">
        <f>SUBTOTAL(109,Table67677174[[Bus ]])</f>
        <v>0</v>
      </c>
      <c r="E124" s="28">
        <f>SUBTOTAL(109,Table67677174[Cab])</f>
        <v>90</v>
      </c>
      <c r="F124" s="28">
        <f>SUBTOTAL(109,Table67677174[GMR])</f>
        <v>146</v>
      </c>
      <c r="G124" s="28">
        <f>SUBTOTAL(109,Table67677174[Public Entity])</f>
        <v>3</v>
      </c>
      <c r="H124" s="28">
        <f>SUBTOTAL(109,Table67677174[Stretcher])</f>
        <v>6</v>
      </c>
      <c r="I124" s="28">
        <f>SUBTOTAL(109,Table67677174[TNC Vendor])</f>
        <v>172</v>
      </c>
      <c r="J124" s="28">
        <f>SUBTOTAL(109,Table67677174[Wheelchair])</f>
        <v>7</v>
      </c>
      <c r="K124" s="28">
        <f>SUBTOTAL(109,Table67677174[Total])</f>
        <v>424</v>
      </c>
      <c r="M124" s="8" t="s">
        <v>121</v>
      </c>
      <c r="N124" s="8" t="s">
        <v>114</v>
      </c>
      <c r="O124" s="9">
        <v>0</v>
      </c>
      <c r="P124" s="9">
        <v>9</v>
      </c>
      <c r="Q124" s="9">
        <v>0</v>
      </c>
      <c r="R124" s="9">
        <v>0</v>
      </c>
      <c r="S124" s="9">
        <v>0</v>
      </c>
      <c r="T124" s="9">
        <v>1</v>
      </c>
      <c r="U124" s="9">
        <v>0</v>
      </c>
      <c r="V124" s="10">
        <f>SUM(Table6767697275[[#This Row],[Bus ]:[Wheelchair]])</f>
        <v>10</v>
      </c>
    </row>
    <row r="125" spans="2:22" ht="19.2" x14ac:dyDescent="0.4">
      <c r="M125" s="8" t="s">
        <v>138</v>
      </c>
      <c r="N125" s="8" t="s">
        <v>114</v>
      </c>
      <c r="O125" s="9">
        <v>0</v>
      </c>
      <c r="P125" s="9">
        <v>0</v>
      </c>
      <c r="Q125" s="9">
        <v>1</v>
      </c>
      <c r="R125" s="9">
        <v>0</v>
      </c>
      <c r="S125" s="9">
        <v>0</v>
      </c>
      <c r="T125" s="9">
        <v>0</v>
      </c>
      <c r="U125" s="9">
        <v>0</v>
      </c>
      <c r="V125" s="10">
        <f>SUM(Table6767697275[[#This Row],[Bus ]:[Wheelchair]])</f>
        <v>1</v>
      </c>
    </row>
    <row r="126" spans="2:22" ht="19.2" x14ac:dyDescent="0.4">
      <c r="M126" s="8" t="s">
        <v>132</v>
      </c>
      <c r="N126" s="8" t="s">
        <v>115</v>
      </c>
      <c r="O126" s="9">
        <v>0</v>
      </c>
      <c r="P126" s="9">
        <v>0</v>
      </c>
      <c r="Q126" s="9">
        <v>1</v>
      </c>
      <c r="R126" s="9">
        <v>0</v>
      </c>
      <c r="S126" s="9">
        <v>0</v>
      </c>
      <c r="T126" s="9">
        <v>0</v>
      </c>
      <c r="U126" s="9">
        <v>0</v>
      </c>
      <c r="V126" s="10">
        <f>SUM(Table6767697275[[#This Row],[Bus ]:[Wheelchair]])</f>
        <v>1</v>
      </c>
    </row>
    <row r="127" spans="2:22" ht="19.2" x14ac:dyDescent="0.4">
      <c r="M127" s="8" t="s">
        <v>62</v>
      </c>
      <c r="N127" s="8" t="s">
        <v>128</v>
      </c>
      <c r="O127" s="9">
        <v>0</v>
      </c>
      <c r="P127" s="9">
        <v>0</v>
      </c>
      <c r="Q127" s="9">
        <v>2</v>
      </c>
      <c r="R127" s="9">
        <v>0</v>
      </c>
      <c r="S127" s="9">
        <v>0</v>
      </c>
      <c r="T127" s="9">
        <v>0</v>
      </c>
      <c r="U127" s="9">
        <v>0</v>
      </c>
      <c r="V127" s="10">
        <f>SUM(Table6767697275[[#This Row],[Bus ]:[Wheelchair]])</f>
        <v>2</v>
      </c>
    </row>
    <row r="128" spans="2:22" ht="19.2" x14ac:dyDescent="0.4">
      <c r="M128" s="8" t="s">
        <v>36</v>
      </c>
      <c r="N128" s="8" t="s">
        <v>92</v>
      </c>
      <c r="O128" s="9">
        <v>0</v>
      </c>
      <c r="P128" s="9">
        <v>0</v>
      </c>
      <c r="Q128" s="9">
        <v>4</v>
      </c>
      <c r="R128" s="9">
        <v>0</v>
      </c>
      <c r="S128" s="9">
        <v>0</v>
      </c>
      <c r="T128" s="9">
        <v>0</v>
      </c>
      <c r="U128" s="9">
        <v>0</v>
      </c>
      <c r="V128" s="10">
        <f>SUM(Table6767697275[[#This Row],[Bus ]:[Wheelchair]])</f>
        <v>4</v>
      </c>
    </row>
    <row r="129" spans="2:22" ht="19.2" x14ac:dyDescent="0.4">
      <c r="M129" s="8" t="s">
        <v>55</v>
      </c>
      <c r="N129" s="8" t="s">
        <v>92</v>
      </c>
      <c r="O129" s="9">
        <v>0</v>
      </c>
      <c r="P129" s="9">
        <v>96</v>
      </c>
      <c r="Q129" s="9">
        <v>73</v>
      </c>
      <c r="R129" s="9">
        <v>0</v>
      </c>
      <c r="S129" s="9">
        <v>5</v>
      </c>
      <c r="T129" s="9">
        <v>37</v>
      </c>
      <c r="U129" s="9">
        <v>6</v>
      </c>
      <c r="V129" s="10">
        <f>SUM(Table6767697275[[#This Row],[Bus ]:[Wheelchair]])</f>
        <v>217</v>
      </c>
    </row>
    <row r="130" spans="2:22" ht="19.2" x14ac:dyDescent="0.4">
      <c r="M130" s="8" t="s">
        <v>61</v>
      </c>
      <c r="N130" s="8" t="s">
        <v>92</v>
      </c>
      <c r="O130" s="9">
        <v>0</v>
      </c>
      <c r="P130" s="9">
        <v>2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0">
        <f>SUM(Table6767697275[[#This Row],[Bus ]:[Wheelchair]])</f>
        <v>2</v>
      </c>
    </row>
    <row r="131" spans="2:22" ht="19.2" x14ac:dyDescent="0.4">
      <c r="M131" s="8" t="s">
        <v>65</v>
      </c>
      <c r="N131" s="8" t="s">
        <v>92</v>
      </c>
      <c r="O131" s="9">
        <v>0</v>
      </c>
      <c r="P131" s="9">
        <v>4</v>
      </c>
      <c r="Q131" s="9">
        <v>2</v>
      </c>
      <c r="R131" s="9">
        <v>0</v>
      </c>
      <c r="S131" s="9">
        <v>0</v>
      </c>
      <c r="T131" s="9">
        <v>1</v>
      </c>
      <c r="U131" s="9">
        <v>0</v>
      </c>
      <c r="V131" s="10">
        <f>SUM(Table6767697275[[#This Row],[Bus ]:[Wheelchair]])</f>
        <v>7</v>
      </c>
    </row>
    <row r="132" spans="2:22" ht="19.2" x14ac:dyDescent="0.4">
      <c r="M132" s="8" t="s">
        <v>66</v>
      </c>
      <c r="N132" s="8" t="s">
        <v>92</v>
      </c>
      <c r="O132" s="9">
        <v>0</v>
      </c>
      <c r="P132" s="9">
        <v>6</v>
      </c>
      <c r="Q132" s="9">
        <v>9</v>
      </c>
      <c r="R132" s="9">
        <v>0</v>
      </c>
      <c r="S132" s="9">
        <v>0</v>
      </c>
      <c r="T132" s="9">
        <v>1</v>
      </c>
      <c r="U132" s="9">
        <v>3</v>
      </c>
      <c r="V132" s="10">
        <f>SUM(Table6767697275[[#This Row],[Bus ]:[Wheelchair]])</f>
        <v>19</v>
      </c>
    </row>
    <row r="133" spans="2:22" ht="19.2" x14ac:dyDescent="0.4">
      <c r="M133" s="8" t="s">
        <v>139</v>
      </c>
      <c r="N133" s="8" t="s">
        <v>93</v>
      </c>
      <c r="O133" s="9">
        <v>0</v>
      </c>
      <c r="P133" s="9">
        <v>1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0">
        <f>SUM(Table6767697275[[#This Row],[Bus ]:[Wheelchair]])</f>
        <v>1</v>
      </c>
    </row>
    <row r="134" spans="2:22" ht="20.399999999999999" x14ac:dyDescent="0.4">
      <c r="M134" s="31" t="s">
        <v>20</v>
      </c>
      <c r="N134" s="31"/>
      <c r="O134" s="32">
        <f>SUBTOTAL(109,Table6767697275[[Bus ]])</f>
        <v>1</v>
      </c>
      <c r="P134" s="32">
        <f>SUBTOTAL(109,Table6767697275[Cab])</f>
        <v>307</v>
      </c>
      <c r="Q134" s="32">
        <f>SUBTOTAL(109,Table6767697275[GMR])</f>
        <v>186</v>
      </c>
      <c r="R134" s="32">
        <f>SUBTOTAL(109,Table6767697275[Public Entity])</f>
        <v>5</v>
      </c>
      <c r="S134" s="32">
        <f>SUBTOTAL(109,Table6767697275[Stretcher])</f>
        <v>7</v>
      </c>
      <c r="T134" s="32">
        <f>SUBTOTAL(109,Table6767697275[TNC Vendor])</f>
        <v>66</v>
      </c>
      <c r="U134" s="32">
        <f>SUBTOTAL(109,Table6767697275[Wheelchair])</f>
        <v>15</v>
      </c>
      <c r="V134" s="32">
        <f>SUBTOTAL(109,Table6767697275[Total])</f>
        <v>587</v>
      </c>
    </row>
    <row r="135" spans="2:22" x14ac:dyDescent="0.4">
      <c r="V135" s="12"/>
    </row>
    <row r="136" spans="2:22" x14ac:dyDescent="0.4">
      <c r="V136" s="12"/>
    </row>
    <row r="137" spans="2:22" ht="19.2" x14ac:dyDescent="0.45">
      <c r="B137" s="38">
        <v>45383</v>
      </c>
      <c r="C137" s="38"/>
      <c r="D137" s="38"/>
      <c r="E137" s="39" t="s">
        <v>22</v>
      </c>
      <c r="F137" s="39"/>
      <c r="G137" s="39"/>
      <c r="H137" s="39"/>
      <c r="I137" s="39"/>
      <c r="J137" s="39"/>
      <c r="K137" s="39"/>
      <c r="L137" s="1"/>
      <c r="M137" s="40">
        <v>45748</v>
      </c>
      <c r="N137" s="40"/>
      <c r="O137" s="40"/>
      <c r="P137" s="41" t="s">
        <v>22</v>
      </c>
      <c r="Q137" s="41"/>
      <c r="R137" s="41"/>
      <c r="S137" s="41"/>
      <c r="T137" s="41"/>
      <c r="U137" s="41"/>
      <c r="V137" s="41"/>
    </row>
    <row r="138" spans="2:22" ht="19.2" x14ac:dyDescent="0.45">
      <c r="B138" s="38"/>
      <c r="C138" s="38"/>
      <c r="D138" s="38"/>
      <c r="E138" s="39"/>
      <c r="F138" s="39"/>
      <c r="G138" s="39"/>
      <c r="H138" s="39"/>
      <c r="I138" s="39"/>
      <c r="J138" s="39"/>
      <c r="K138" s="39"/>
      <c r="L138" s="1"/>
      <c r="M138" s="40"/>
      <c r="N138" s="40"/>
      <c r="O138" s="40"/>
      <c r="P138" s="41"/>
      <c r="Q138" s="41"/>
      <c r="R138" s="41"/>
      <c r="S138" s="41"/>
      <c r="T138" s="41"/>
      <c r="U138" s="41"/>
      <c r="V138" s="41"/>
    </row>
    <row r="139" spans="2:22" ht="20.399999999999999" x14ac:dyDescent="0.45">
      <c r="B139" s="3" t="s">
        <v>23</v>
      </c>
      <c r="C139" s="3" t="s">
        <v>68</v>
      </c>
      <c r="D139" s="4" t="s">
        <v>25</v>
      </c>
      <c r="E139" s="4" t="s">
        <v>0</v>
      </c>
      <c r="F139" s="4" t="s">
        <v>26</v>
      </c>
      <c r="G139" s="4" t="s">
        <v>27</v>
      </c>
      <c r="H139" s="4" t="s">
        <v>1</v>
      </c>
      <c r="I139" s="4" t="s">
        <v>2</v>
      </c>
      <c r="J139" s="4" t="s">
        <v>3</v>
      </c>
      <c r="K139" s="4" t="s">
        <v>20</v>
      </c>
      <c r="L139" s="5"/>
      <c r="M139" s="6" t="s">
        <v>23</v>
      </c>
      <c r="N139" s="6" t="s">
        <v>68</v>
      </c>
      <c r="O139" s="7" t="s">
        <v>25</v>
      </c>
      <c r="P139" s="7" t="s">
        <v>0</v>
      </c>
      <c r="Q139" s="7" t="s">
        <v>26</v>
      </c>
      <c r="R139" s="7" t="s">
        <v>27</v>
      </c>
      <c r="S139" s="7" t="s">
        <v>1</v>
      </c>
      <c r="T139" s="7" t="s">
        <v>2</v>
      </c>
      <c r="U139" s="7" t="s">
        <v>3</v>
      </c>
      <c r="V139" s="7" t="s">
        <v>20</v>
      </c>
    </row>
    <row r="140" spans="2:22" ht="19.2" hidden="1" x14ac:dyDescent="0.4">
      <c r="B140" s="8" t="s">
        <v>64</v>
      </c>
      <c r="C140" s="8" t="s">
        <v>69</v>
      </c>
      <c r="D140" s="9">
        <v>0</v>
      </c>
      <c r="E140" s="9">
        <v>1</v>
      </c>
      <c r="F140" s="9">
        <v>6</v>
      </c>
      <c r="G140" s="9">
        <v>0</v>
      </c>
      <c r="H140" s="9">
        <v>0</v>
      </c>
      <c r="I140" s="9">
        <v>0</v>
      </c>
      <c r="J140" s="9">
        <v>0</v>
      </c>
      <c r="K140" s="10">
        <f>SUM(Table6767717413[[#This Row],[Bus ]:[Wheelchair]])</f>
        <v>7</v>
      </c>
      <c r="M140" s="8" t="s">
        <v>64</v>
      </c>
      <c r="N140" s="8" t="s">
        <v>69</v>
      </c>
      <c r="O140" s="9">
        <v>0</v>
      </c>
      <c r="P140" s="9">
        <v>0</v>
      </c>
      <c r="Q140" s="9">
        <v>8</v>
      </c>
      <c r="R140" s="9">
        <v>0</v>
      </c>
      <c r="S140" s="9">
        <v>0</v>
      </c>
      <c r="T140" s="9">
        <v>0</v>
      </c>
      <c r="U140" s="9">
        <v>0</v>
      </c>
      <c r="V140" s="10">
        <f>SUM(Table676769727514[[#This Row],[Bus ]:[Wheelchair]])</f>
        <v>8</v>
      </c>
    </row>
    <row r="141" spans="2:22" ht="19.2" x14ac:dyDescent="0.4">
      <c r="B141" s="8" t="s">
        <v>43</v>
      </c>
      <c r="C141" s="8" t="s">
        <v>72</v>
      </c>
      <c r="D141" s="9">
        <v>0</v>
      </c>
      <c r="E141" s="9">
        <v>1</v>
      </c>
      <c r="F141" s="9">
        <v>0</v>
      </c>
      <c r="G141" s="9">
        <v>0</v>
      </c>
      <c r="H141" s="9">
        <v>0</v>
      </c>
      <c r="I141" s="9">
        <v>1</v>
      </c>
      <c r="J141" s="9">
        <v>0</v>
      </c>
      <c r="K141" s="10">
        <f>SUM(Table6767717413[[#This Row],[Bus ]:[Wheelchair]])</f>
        <v>2</v>
      </c>
      <c r="M141" s="8" t="s">
        <v>43</v>
      </c>
      <c r="N141" s="8" t="s">
        <v>72</v>
      </c>
      <c r="O141" s="9">
        <v>0</v>
      </c>
      <c r="P141" s="9">
        <v>75</v>
      </c>
      <c r="Q141" s="9">
        <v>0</v>
      </c>
      <c r="R141" s="9">
        <v>0</v>
      </c>
      <c r="S141" s="9">
        <v>0</v>
      </c>
      <c r="T141" s="9">
        <v>8</v>
      </c>
      <c r="U141" s="9">
        <v>0</v>
      </c>
      <c r="V141" s="10">
        <f>SUM(Table676769727514[[#This Row],[Bus ]:[Wheelchair]])</f>
        <v>83</v>
      </c>
    </row>
    <row r="142" spans="2:22" ht="19.2" x14ac:dyDescent="0.4">
      <c r="B142" s="8" t="s">
        <v>44</v>
      </c>
      <c r="C142" s="8" t="s">
        <v>72</v>
      </c>
      <c r="D142" s="9">
        <v>0</v>
      </c>
      <c r="E142" s="9">
        <v>0</v>
      </c>
      <c r="F142" s="9">
        <v>8</v>
      </c>
      <c r="G142" s="9">
        <v>0</v>
      </c>
      <c r="H142" s="9">
        <v>0</v>
      </c>
      <c r="I142" s="9">
        <v>9</v>
      </c>
      <c r="J142" s="9">
        <v>0</v>
      </c>
      <c r="K142" s="10">
        <f>SUM(Table6767717413[[#This Row],[Bus ]:[Wheelchair]])</f>
        <v>17</v>
      </c>
      <c r="M142" s="8" t="s">
        <v>44</v>
      </c>
      <c r="N142" s="8" t="s">
        <v>72</v>
      </c>
      <c r="O142" s="9">
        <v>0</v>
      </c>
      <c r="P142" s="9">
        <v>4</v>
      </c>
      <c r="Q142" s="9">
        <v>3</v>
      </c>
      <c r="R142" s="9">
        <v>0</v>
      </c>
      <c r="S142" s="9">
        <v>0</v>
      </c>
      <c r="T142" s="9">
        <v>0</v>
      </c>
      <c r="U142" s="9">
        <v>0</v>
      </c>
      <c r="V142" s="10">
        <f>SUM(Table676769727514[[#This Row],[Bus ]:[Wheelchair]])</f>
        <v>7</v>
      </c>
    </row>
    <row r="143" spans="2:22" ht="19.2" x14ac:dyDescent="0.4">
      <c r="B143" s="8" t="s">
        <v>42</v>
      </c>
      <c r="C143" s="8" t="s">
        <v>74</v>
      </c>
      <c r="D143" s="9">
        <v>0</v>
      </c>
      <c r="E143" s="9">
        <v>25</v>
      </c>
      <c r="F143" s="9">
        <v>46</v>
      </c>
      <c r="G143" s="9">
        <v>1</v>
      </c>
      <c r="H143" s="9">
        <v>0</v>
      </c>
      <c r="I143" s="9">
        <v>73</v>
      </c>
      <c r="J143" s="9">
        <v>0</v>
      </c>
      <c r="K143" s="10">
        <f>SUM(Table6767717413[[#This Row],[Bus ]:[Wheelchair]])</f>
        <v>145</v>
      </c>
      <c r="M143" s="8" t="s">
        <v>38</v>
      </c>
      <c r="N143" s="8" t="s">
        <v>74</v>
      </c>
      <c r="O143" s="9">
        <v>0</v>
      </c>
      <c r="P143" s="9">
        <v>1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0">
        <f>SUM(Table676769727514[[#This Row],[Bus ]:[Wheelchair]])</f>
        <v>1</v>
      </c>
    </row>
    <row r="144" spans="2:22" ht="19.2" x14ac:dyDescent="0.4">
      <c r="B144" s="8" t="s">
        <v>75</v>
      </c>
      <c r="C144" s="8" t="s">
        <v>74</v>
      </c>
      <c r="D144" s="9">
        <v>0</v>
      </c>
      <c r="E144" s="9">
        <v>1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10">
        <f>SUM(Table6767717413[[#This Row],[Bus ]:[Wheelchair]])</f>
        <v>1</v>
      </c>
      <c r="M144" s="8" t="s">
        <v>105</v>
      </c>
      <c r="N144" s="8" t="s">
        <v>74</v>
      </c>
      <c r="O144" s="9">
        <v>0</v>
      </c>
      <c r="P144" s="9">
        <v>2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0">
        <f>SUM(Table676769727514[[#This Row],[Bus ]:[Wheelchair]])</f>
        <v>2</v>
      </c>
    </row>
    <row r="145" spans="2:22" ht="19.2" x14ac:dyDescent="0.4">
      <c r="B145" s="8" t="s">
        <v>52</v>
      </c>
      <c r="C145" s="8" t="s">
        <v>74</v>
      </c>
      <c r="D145" s="9">
        <v>0</v>
      </c>
      <c r="E145" s="9">
        <v>22</v>
      </c>
      <c r="F145" s="9">
        <v>12</v>
      </c>
      <c r="G145" s="9">
        <v>0</v>
      </c>
      <c r="H145" s="9">
        <v>0</v>
      </c>
      <c r="I145" s="9">
        <v>2</v>
      </c>
      <c r="J145" s="9">
        <v>0</v>
      </c>
      <c r="K145" s="10">
        <f>SUM(Table6767717413[[#This Row],[Bus ]:[Wheelchair]])</f>
        <v>36</v>
      </c>
      <c r="M145" s="8" t="s">
        <v>42</v>
      </c>
      <c r="N145" s="8" t="s">
        <v>74</v>
      </c>
      <c r="O145" s="9">
        <v>0</v>
      </c>
      <c r="P145" s="9">
        <v>96</v>
      </c>
      <c r="Q145" s="9">
        <v>22</v>
      </c>
      <c r="R145" s="9">
        <v>1</v>
      </c>
      <c r="S145" s="9">
        <v>0</v>
      </c>
      <c r="T145" s="9">
        <v>15</v>
      </c>
      <c r="U145" s="9">
        <v>0</v>
      </c>
      <c r="V145" s="10">
        <f>SUM(Table676769727514[[#This Row],[Bus ]:[Wheelchair]])</f>
        <v>134</v>
      </c>
    </row>
    <row r="146" spans="2:22" ht="19.2" x14ac:dyDescent="0.4">
      <c r="B146" s="8" t="s">
        <v>56</v>
      </c>
      <c r="C146" s="8" t="s">
        <v>74</v>
      </c>
      <c r="D146" s="9">
        <v>0</v>
      </c>
      <c r="E146" s="9">
        <v>1</v>
      </c>
      <c r="F146" s="9">
        <v>9</v>
      </c>
      <c r="G146" s="9">
        <v>0</v>
      </c>
      <c r="H146" s="9">
        <v>0</v>
      </c>
      <c r="I146" s="9">
        <v>0</v>
      </c>
      <c r="J146" s="9">
        <v>0</v>
      </c>
      <c r="K146" s="10">
        <f>SUM(Table6767717413[[#This Row],[Bus ]:[Wheelchair]])</f>
        <v>10</v>
      </c>
      <c r="M146" s="8" t="s">
        <v>140</v>
      </c>
      <c r="N146" s="8" t="s">
        <v>74</v>
      </c>
      <c r="O146" s="9">
        <v>0</v>
      </c>
      <c r="P146" s="9">
        <v>0</v>
      </c>
      <c r="Q146" s="9">
        <v>1</v>
      </c>
      <c r="R146" s="9">
        <v>0</v>
      </c>
      <c r="S146" s="9">
        <v>0</v>
      </c>
      <c r="T146" s="9">
        <v>0</v>
      </c>
      <c r="U146" s="9">
        <v>0</v>
      </c>
      <c r="V146" s="10">
        <f>SUM(Table676769727514[[#This Row],[Bus ]:[Wheelchair]])</f>
        <v>1</v>
      </c>
    </row>
    <row r="147" spans="2:22" ht="19.2" x14ac:dyDescent="0.4">
      <c r="B147" s="8" t="s">
        <v>59</v>
      </c>
      <c r="C147" s="8" t="s">
        <v>74</v>
      </c>
      <c r="D147" s="9">
        <v>0</v>
      </c>
      <c r="E147" s="9">
        <v>1</v>
      </c>
      <c r="F147" s="9">
        <v>0</v>
      </c>
      <c r="G147" s="9">
        <v>0</v>
      </c>
      <c r="H147" s="9">
        <v>0</v>
      </c>
      <c r="I147" s="9">
        <v>5</v>
      </c>
      <c r="J147" s="9">
        <v>0</v>
      </c>
      <c r="K147" s="10">
        <f>SUM(Table6767717413[[#This Row],[Bus ]:[Wheelchair]])</f>
        <v>6</v>
      </c>
      <c r="M147" s="8" t="s">
        <v>76</v>
      </c>
      <c r="N147" s="8" t="s">
        <v>74</v>
      </c>
      <c r="O147" s="9">
        <v>0</v>
      </c>
      <c r="P147" s="9">
        <v>1</v>
      </c>
      <c r="Q147" s="9">
        <v>2</v>
      </c>
      <c r="R147" s="9">
        <v>0</v>
      </c>
      <c r="S147" s="9">
        <v>0</v>
      </c>
      <c r="T147" s="9">
        <v>0</v>
      </c>
      <c r="U147" s="9">
        <v>0</v>
      </c>
      <c r="V147" s="10">
        <f>SUM(Table676769727514[[#This Row],[Bus ]:[Wheelchair]])</f>
        <v>3</v>
      </c>
    </row>
    <row r="148" spans="2:22" ht="19.2" x14ac:dyDescent="0.4">
      <c r="B148" s="8" t="s">
        <v>60</v>
      </c>
      <c r="C148" s="8" t="s">
        <v>74</v>
      </c>
      <c r="D148" s="9">
        <v>0</v>
      </c>
      <c r="E148" s="9">
        <v>2</v>
      </c>
      <c r="F148" s="9">
        <v>6</v>
      </c>
      <c r="G148" s="9">
        <v>0</v>
      </c>
      <c r="H148" s="9">
        <v>0</v>
      </c>
      <c r="I148" s="9">
        <v>13</v>
      </c>
      <c r="J148" s="9">
        <v>0</v>
      </c>
      <c r="K148" s="10">
        <f>SUM(Table6767717413[[#This Row],[Bus ]:[Wheelchair]])</f>
        <v>21</v>
      </c>
      <c r="M148" s="8" t="s">
        <v>52</v>
      </c>
      <c r="N148" s="8" t="s">
        <v>74</v>
      </c>
      <c r="O148" s="9">
        <v>0</v>
      </c>
      <c r="P148" s="9">
        <v>3</v>
      </c>
      <c r="Q148" s="9">
        <v>6</v>
      </c>
      <c r="R148" s="9">
        <v>0</v>
      </c>
      <c r="S148" s="9">
        <v>0</v>
      </c>
      <c r="T148" s="9">
        <v>0</v>
      </c>
      <c r="U148" s="9">
        <v>0</v>
      </c>
      <c r="V148" s="10">
        <f>SUM(Table676769727514[[#This Row],[Bus ]:[Wheelchair]])</f>
        <v>9</v>
      </c>
    </row>
    <row r="149" spans="2:22" ht="19.2" x14ac:dyDescent="0.4">
      <c r="B149" s="8" t="s">
        <v>141</v>
      </c>
      <c r="C149" s="8" t="s">
        <v>74</v>
      </c>
      <c r="D149" s="9">
        <v>0</v>
      </c>
      <c r="E149" s="9">
        <v>0</v>
      </c>
      <c r="F149" s="9">
        <v>1</v>
      </c>
      <c r="G149" s="9">
        <v>0</v>
      </c>
      <c r="H149" s="9">
        <v>0</v>
      </c>
      <c r="I149" s="9">
        <v>0</v>
      </c>
      <c r="J149" s="9">
        <v>3</v>
      </c>
      <c r="K149" s="10">
        <f>SUM(Table6767717413[[#This Row],[Bus ]:[Wheelchair]])</f>
        <v>4</v>
      </c>
      <c r="M149" s="8" t="s">
        <v>56</v>
      </c>
      <c r="N149" s="8" t="s">
        <v>74</v>
      </c>
      <c r="O149" s="9">
        <v>0</v>
      </c>
      <c r="P149" s="9">
        <v>3</v>
      </c>
      <c r="Q149" s="9">
        <v>8</v>
      </c>
      <c r="R149" s="9">
        <v>0</v>
      </c>
      <c r="S149" s="9">
        <v>0</v>
      </c>
      <c r="T149" s="9">
        <v>0</v>
      </c>
      <c r="U149" s="9">
        <v>0</v>
      </c>
      <c r="V149" s="10">
        <f>SUM(Table676769727514[[#This Row],[Bus ]:[Wheelchair]])</f>
        <v>11</v>
      </c>
    </row>
    <row r="150" spans="2:22" ht="19.2" x14ac:dyDescent="0.4">
      <c r="B150" s="8" t="s">
        <v>88</v>
      </c>
      <c r="C150" s="8" t="s">
        <v>77</v>
      </c>
      <c r="D150" s="9">
        <v>0</v>
      </c>
      <c r="E150" s="9">
        <v>2</v>
      </c>
      <c r="F150" s="9">
        <v>1</v>
      </c>
      <c r="G150" s="9">
        <v>0</v>
      </c>
      <c r="H150" s="9">
        <v>0</v>
      </c>
      <c r="I150" s="9">
        <v>1</v>
      </c>
      <c r="J150" s="9">
        <v>0</v>
      </c>
      <c r="K150" s="10">
        <f>SUM(Table6767717413[[#This Row],[Bus ]:[Wheelchair]])</f>
        <v>4</v>
      </c>
      <c r="M150" s="8" t="s">
        <v>59</v>
      </c>
      <c r="N150" s="8" t="s">
        <v>74</v>
      </c>
      <c r="O150" s="9">
        <v>0</v>
      </c>
      <c r="P150" s="9">
        <v>1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0">
        <f>SUM(Table676769727514[[#This Row],[Bus ]:[Wheelchair]])</f>
        <v>1</v>
      </c>
    </row>
    <row r="151" spans="2:22" ht="19.2" x14ac:dyDescent="0.4">
      <c r="B151" s="8" t="s">
        <v>110</v>
      </c>
      <c r="C151" s="8" t="s">
        <v>77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6</v>
      </c>
      <c r="J151" s="9">
        <v>0</v>
      </c>
      <c r="K151" s="10">
        <f>SUM(Table6767717413[[#This Row],[Bus ]:[Wheelchair]])</f>
        <v>6</v>
      </c>
      <c r="M151" s="8" t="s">
        <v>60</v>
      </c>
      <c r="N151" s="8" t="s">
        <v>74</v>
      </c>
      <c r="O151" s="9">
        <v>0</v>
      </c>
      <c r="P151" s="9">
        <v>13</v>
      </c>
      <c r="Q151" s="9">
        <v>4</v>
      </c>
      <c r="R151" s="9">
        <v>0</v>
      </c>
      <c r="S151" s="9">
        <v>1</v>
      </c>
      <c r="T151" s="9">
        <v>0</v>
      </c>
      <c r="U151" s="9">
        <v>0</v>
      </c>
      <c r="V151" s="10">
        <f>SUM(Table676769727514[[#This Row],[Bus ]:[Wheelchair]])</f>
        <v>18</v>
      </c>
    </row>
    <row r="152" spans="2:22" ht="19.2" x14ac:dyDescent="0.4">
      <c r="B152" s="8" t="s">
        <v>111</v>
      </c>
      <c r="C152" s="8" t="s">
        <v>77</v>
      </c>
      <c r="D152" s="9">
        <v>0</v>
      </c>
      <c r="E152" s="9">
        <v>1</v>
      </c>
      <c r="F152" s="9">
        <v>1</v>
      </c>
      <c r="G152" s="9">
        <v>0</v>
      </c>
      <c r="H152" s="9">
        <v>0</v>
      </c>
      <c r="I152" s="9">
        <v>0</v>
      </c>
      <c r="J152" s="9">
        <v>0</v>
      </c>
      <c r="K152" s="10">
        <f>SUM(Table6767717413[[#This Row],[Bus ]:[Wheelchair]])</f>
        <v>2</v>
      </c>
      <c r="M152" s="8" t="s">
        <v>142</v>
      </c>
      <c r="N152" s="8" t="s">
        <v>77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0">
        <f>SUM(Table676769727514[[#This Row],[Bus ]:[Wheelchair]])</f>
        <v>0</v>
      </c>
    </row>
    <row r="153" spans="2:22" ht="19.2" x14ac:dyDescent="0.4">
      <c r="B153" s="8" t="s">
        <v>39</v>
      </c>
      <c r="C153" s="8" t="s">
        <v>79</v>
      </c>
      <c r="D153" s="9">
        <v>0</v>
      </c>
      <c r="E153" s="9">
        <v>3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10">
        <f>SUM(Table6767717413[[#This Row],[Bus ]:[Wheelchair]])</f>
        <v>3</v>
      </c>
      <c r="M153" s="8" t="s">
        <v>134</v>
      </c>
      <c r="N153" s="8" t="s">
        <v>127</v>
      </c>
      <c r="O153" s="9">
        <v>0</v>
      </c>
      <c r="P153" s="9">
        <v>1</v>
      </c>
      <c r="Q153" s="9">
        <v>0</v>
      </c>
      <c r="R153" s="9">
        <v>0</v>
      </c>
      <c r="S153" s="9">
        <v>0</v>
      </c>
      <c r="T153" s="9">
        <v>0</v>
      </c>
      <c r="U153" s="9">
        <v>2</v>
      </c>
      <c r="V153" s="10">
        <f>SUM(Table676769727514[[#This Row],[Bus ]:[Wheelchair]])</f>
        <v>3</v>
      </c>
    </row>
    <row r="154" spans="2:22" ht="19.2" x14ac:dyDescent="0.4">
      <c r="B154" s="8" t="s">
        <v>40</v>
      </c>
      <c r="C154" s="8" t="s">
        <v>79</v>
      </c>
      <c r="D154" s="9">
        <v>0</v>
      </c>
      <c r="E154" s="9">
        <v>0</v>
      </c>
      <c r="F154" s="9">
        <v>1</v>
      </c>
      <c r="G154" s="9">
        <v>0</v>
      </c>
      <c r="H154" s="9">
        <v>0</v>
      </c>
      <c r="I154" s="9">
        <v>0</v>
      </c>
      <c r="J154" s="9">
        <v>0</v>
      </c>
      <c r="K154" s="10">
        <f>SUM(Table6767717413[[#This Row],[Bus ]:[Wheelchair]])</f>
        <v>1</v>
      </c>
      <c r="M154" s="8" t="s">
        <v>40</v>
      </c>
      <c r="N154" s="8" t="s">
        <v>79</v>
      </c>
      <c r="O154" s="9">
        <v>0</v>
      </c>
      <c r="P154" s="9">
        <v>0</v>
      </c>
      <c r="Q154" s="9">
        <v>4</v>
      </c>
      <c r="R154" s="9">
        <v>0</v>
      </c>
      <c r="S154" s="9">
        <v>0</v>
      </c>
      <c r="T154" s="9">
        <v>0</v>
      </c>
      <c r="U154" s="9">
        <v>0</v>
      </c>
      <c r="V154" s="10">
        <f>SUM(Table676769727514[[#This Row],[Bus ]:[Wheelchair]])</f>
        <v>4</v>
      </c>
    </row>
    <row r="155" spans="2:22" ht="19.2" x14ac:dyDescent="0.4">
      <c r="B155" s="8" t="s">
        <v>63</v>
      </c>
      <c r="C155" s="8" t="s">
        <v>79</v>
      </c>
      <c r="D155" s="9">
        <v>0</v>
      </c>
      <c r="E155" s="9">
        <v>3</v>
      </c>
      <c r="F155" s="9">
        <v>1</v>
      </c>
      <c r="G155" s="9">
        <v>0</v>
      </c>
      <c r="H155" s="9">
        <v>0</v>
      </c>
      <c r="I155" s="9">
        <v>0</v>
      </c>
      <c r="J155" s="9">
        <v>18</v>
      </c>
      <c r="K155" s="10">
        <f>SUM(Table6767717413[[#This Row],[Bus ]:[Wheelchair]])</f>
        <v>22</v>
      </c>
      <c r="M155" s="8" t="s">
        <v>94</v>
      </c>
      <c r="N155" s="8" t="s">
        <v>79</v>
      </c>
      <c r="O155" s="9">
        <v>0</v>
      </c>
      <c r="P155" s="9">
        <v>1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0">
        <f>SUM(Table676769727514[[#This Row],[Bus ]:[Wheelchair]])</f>
        <v>1</v>
      </c>
    </row>
    <row r="156" spans="2:22" ht="19.2" x14ac:dyDescent="0.4">
      <c r="B156" s="8" t="s">
        <v>97</v>
      </c>
      <c r="C156" s="8" t="s">
        <v>81</v>
      </c>
      <c r="D156" s="9">
        <v>0</v>
      </c>
      <c r="E156" s="9">
        <v>0</v>
      </c>
      <c r="F156" s="9">
        <v>1</v>
      </c>
      <c r="G156" s="9">
        <v>0</v>
      </c>
      <c r="H156" s="9">
        <v>0</v>
      </c>
      <c r="I156" s="9">
        <v>0</v>
      </c>
      <c r="J156" s="9">
        <v>0</v>
      </c>
      <c r="K156" s="10">
        <f>SUM(Table6767717413[[#This Row],[Bus ]:[Wheelchair]])</f>
        <v>1</v>
      </c>
      <c r="M156" s="8" t="s">
        <v>63</v>
      </c>
      <c r="N156" s="8" t="s">
        <v>79</v>
      </c>
      <c r="O156" s="9">
        <v>0</v>
      </c>
      <c r="P156" s="9">
        <v>6</v>
      </c>
      <c r="Q156" s="9">
        <v>13</v>
      </c>
      <c r="R156" s="9">
        <v>0</v>
      </c>
      <c r="S156" s="9">
        <v>0</v>
      </c>
      <c r="T156" s="9">
        <v>0</v>
      </c>
      <c r="U156" s="9">
        <v>0</v>
      </c>
      <c r="V156" s="10">
        <f>SUM(Table676769727514[[#This Row],[Bus ]:[Wheelchair]])</f>
        <v>19</v>
      </c>
    </row>
    <row r="157" spans="2:22" ht="19.2" x14ac:dyDescent="0.4">
      <c r="B157" s="8" t="s">
        <v>143</v>
      </c>
      <c r="C157" s="8" t="s">
        <v>85</v>
      </c>
      <c r="D157" s="9">
        <v>0</v>
      </c>
      <c r="E157" s="9">
        <v>0</v>
      </c>
      <c r="F157" s="9">
        <v>1</v>
      </c>
      <c r="G157" s="9">
        <v>0</v>
      </c>
      <c r="H157" s="9">
        <v>0</v>
      </c>
      <c r="I157" s="9">
        <v>0</v>
      </c>
      <c r="J157" s="9">
        <v>0</v>
      </c>
      <c r="K157" s="10">
        <f>SUM(Table6767717413[[#This Row],[Bus ]:[Wheelchair]])</f>
        <v>1</v>
      </c>
      <c r="M157" s="8" t="s">
        <v>144</v>
      </c>
      <c r="N157" s="8" t="s">
        <v>80</v>
      </c>
      <c r="O157" s="9">
        <v>0</v>
      </c>
      <c r="P157" s="9">
        <v>1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0">
        <f>SUM(Table676769727514[[#This Row],[Bus ]:[Wheelchair]])</f>
        <v>1</v>
      </c>
    </row>
    <row r="158" spans="2:22" ht="19.2" x14ac:dyDescent="0.4">
      <c r="B158" s="8" t="s">
        <v>32</v>
      </c>
      <c r="C158" s="8" t="s">
        <v>87</v>
      </c>
      <c r="D158" s="9">
        <v>0</v>
      </c>
      <c r="E158" s="9">
        <v>8</v>
      </c>
      <c r="F158" s="9">
        <v>24</v>
      </c>
      <c r="G158" s="9">
        <v>1</v>
      </c>
      <c r="H158" s="9">
        <v>0</v>
      </c>
      <c r="I158" s="9">
        <v>1</v>
      </c>
      <c r="J158" s="9">
        <v>1</v>
      </c>
      <c r="K158" s="10">
        <f>SUM(Table6767717413[[#This Row],[Bus ]:[Wheelchair]])</f>
        <v>35</v>
      </c>
      <c r="M158" s="8" t="s">
        <v>32</v>
      </c>
      <c r="N158" s="8" t="s">
        <v>87</v>
      </c>
      <c r="O158" s="9">
        <v>0</v>
      </c>
      <c r="P158" s="9">
        <v>0</v>
      </c>
      <c r="Q158" s="9">
        <v>13</v>
      </c>
      <c r="R158" s="9">
        <v>0</v>
      </c>
      <c r="S158" s="9">
        <v>0</v>
      </c>
      <c r="T158" s="9">
        <v>0</v>
      </c>
      <c r="U158" s="9">
        <v>0</v>
      </c>
      <c r="V158" s="10">
        <f>SUM(Table676769727514[[#This Row],[Bus ]:[Wheelchair]])</f>
        <v>13</v>
      </c>
    </row>
    <row r="159" spans="2:22" ht="19.2" x14ac:dyDescent="0.4">
      <c r="B159" s="8" t="s">
        <v>145</v>
      </c>
      <c r="C159" s="8" t="s">
        <v>128</v>
      </c>
      <c r="D159" s="9">
        <v>0</v>
      </c>
      <c r="E159" s="9">
        <v>0</v>
      </c>
      <c r="F159" s="9">
        <v>1</v>
      </c>
      <c r="G159" s="9">
        <v>0</v>
      </c>
      <c r="H159" s="9">
        <v>0</v>
      </c>
      <c r="I159" s="9">
        <v>0</v>
      </c>
      <c r="J159" s="9">
        <v>0</v>
      </c>
      <c r="K159" s="10">
        <f>SUM(Table6767717413[[#This Row],[Bus ]:[Wheelchair]])</f>
        <v>1</v>
      </c>
      <c r="M159" s="8" t="s">
        <v>121</v>
      </c>
      <c r="N159" s="8" t="s">
        <v>114</v>
      </c>
      <c r="O159" s="9">
        <v>0</v>
      </c>
      <c r="P159" s="9">
        <v>8</v>
      </c>
      <c r="Q159" s="9">
        <v>0</v>
      </c>
      <c r="R159" s="9">
        <v>0</v>
      </c>
      <c r="S159" s="9">
        <v>0</v>
      </c>
      <c r="T159" s="9">
        <v>1</v>
      </c>
      <c r="U159" s="9">
        <v>0</v>
      </c>
      <c r="V159" s="10">
        <f>SUM(Table676769727514[[#This Row],[Bus ]:[Wheelchair]])</f>
        <v>9</v>
      </c>
    </row>
    <row r="160" spans="2:22" ht="19.2" x14ac:dyDescent="0.4">
      <c r="B160" s="8" t="s">
        <v>62</v>
      </c>
      <c r="C160" s="8" t="s">
        <v>128</v>
      </c>
      <c r="D160" s="9">
        <v>0</v>
      </c>
      <c r="E160" s="9">
        <v>1</v>
      </c>
      <c r="F160" s="9">
        <v>3</v>
      </c>
      <c r="G160" s="9">
        <v>0</v>
      </c>
      <c r="H160" s="9">
        <v>0</v>
      </c>
      <c r="I160" s="9">
        <v>0</v>
      </c>
      <c r="J160" s="9">
        <v>0</v>
      </c>
      <c r="K160" s="10">
        <f>SUM(Table6767717413[[#This Row],[Bus ]:[Wheelchair]])</f>
        <v>4</v>
      </c>
      <c r="M160" s="8" t="s">
        <v>145</v>
      </c>
      <c r="N160" s="8" t="s">
        <v>128</v>
      </c>
      <c r="O160" s="9">
        <v>0</v>
      </c>
      <c r="P160" s="9">
        <v>2</v>
      </c>
      <c r="Q160" s="9">
        <v>0</v>
      </c>
      <c r="R160" s="9">
        <v>0</v>
      </c>
      <c r="S160" s="9">
        <v>0</v>
      </c>
      <c r="T160" s="9">
        <v>1</v>
      </c>
      <c r="U160" s="9">
        <v>0</v>
      </c>
      <c r="V160" s="10">
        <f>SUM(Table676769727514[[#This Row],[Bus ]:[Wheelchair]])</f>
        <v>3</v>
      </c>
    </row>
    <row r="161" spans="2:23" ht="19.2" x14ac:dyDescent="0.4">
      <c r="B161" s="8" t="s">
        <v>36</v>
      </c>
      <c r="C161" s="8" t="s">
        <v>92</v>
      </c>
      <c r="D161" s="9">
        <v>0</v>
      </c>
      <c r="E161" s="9">
        <v>1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10">
        <f>SUM(Table6767717413[[#This Row],[Bus ]:[Wheelchair]])</f>
        <v>1</v>
      </c>
      <c r="M161" s="8" t="s">
        <v>62</v>
      </c>
      <c r="N161" s="8" t="s">
        <v>128</v>
      </c>
      <c r="O161" s="9">
        <v>0</v>
      </c>
      <c r="P161" s="9">
        <v>0</v>
      </c>
      <c r="Q161" s="9">
        <v>1</v>
      </c>
      <c r="R161" s="9">
        <v>0</v>
      </c>
      <c r="S161" s="9">
        <v>0</v>
      </c>
      <c r="T161" s="9">
        <v>0</v>
      </c>
      <c r="U161" s="9">
        <v>0</v>
      </c>
      <c r="V161" s="10">
        <f>SUM(Table676769727514[[#This Row],[Bus ]:[Wheelchair]])</f>
        <v>1</v>
      </c>
    </row>
    <row r="162" spans="2:23" ht="19.2" x14ac:dyDescent="0.4">
      <c r="B162" s="8" t="s">
        <v>101</v>
      </c>
      <c r="C162" s="8" t="s">
        <v>92</v>
      </c>
      <c r="D162" s="9">
        <v>0</v>
      </c>
      <c r="E162" s="9">
        <v>0</v>
      </c>
      <c r="F162" s="9">
        <v>1</v>
      </c>
      <c r="G162" s="9">
        <v>0</v>
      </c>
      <c r="H162" s="9">
        <v>0</v>
      </c>
      <c r="I162" s="9">
        <v>0</v>
      </c>
      <c r="J162" s="9">
        <v>0</v>
      </c>
      <c r="K162" s="10">
        <f>SUM(Table6767717413[[#This Row],[Bus ]:[Wheelchair]])</f>
        <v>1</v>
      </c>
      <c r="M162" s="8" t="s">
        <v>101</v>
      </c>
      <c r="N162" s="8" t="s">
        <v>92</v>
      </c>
      <c r="O162" s="9">
        <v>0</v>
      </c>
      <c r="P162" s="9">
        <v>0</v>
      </c>
      <c r="Q162" s="9">
        <v>1</v>
      </c>
      <c r="R162" s="9">
        <v>0</v>
      </c>
      <c r="S162" s="9">
        <v>0</v>
      </c>
      <c r="T162" s="9">
        <v>0</v>
      </c>
      <c r="U162" s="9">
        <v>0</v>
      </c>
      <c r="V162" s="10">
        <f>SUM(Table676769727514[[#This Row],[Bus ]:[Wheelchair]])</f>
        <v>1</v>
      </c>
    </row>
    <row r="163" spans="2:23" ht="19.2" x14ac:dyDescent="0.4">
      <c r="B163" s="8" t="s">
        <v>55</v>
      </c>
      <c r="C163" s="8" t="s">
        <v>92</v>
      </c>
      <c r="D163" s="9">
        <v>0</v>
      </c>
      <c r="E163" s="9">
        <v>36</v>
      </c>
      <c r="F163" s="9">
        <v>67</v>
      </c>
      <c r="G163" s="9">
        <v>1</v>
      </c>
      <c r="H163" s="9">
        <v>0</v>
      </c>
      <c r="I163" s="9">
        <v>61</v>
      </c>
      <c r="J163" s="9">
        <v>15</v>
      </c>
      <c r="K163" s="10">
        <f>SUM(Table6767717413[[#This Row],[Bus ]:[Wheelchair]])</f>
        <v>180</v>
      </c>
      <c r="M163" s="8" t="s">
        <v>55</v>
      </c>
      <c r="N163" s="8" t="s">
        <v>92</v>
      </c>
      <c r="O163" s="9">
        <v>0</v>
      </c>
      <c r="P163" s="9">
        <v>84</v>
      </c>
      <c r="Q163" s="9">
        <v>82</v>
      </c>
      <c r="R163" s="9">
        <v>2</v>
      </c>
      <c r="S163" s="9">
        <v>2</v>
      </c>
      <c r="T163" s="9">
        <v>20</v>
      </c>
      <c r="U163" s="9">
        <v>23</v>
      </c>
      <c r="V163" s="10">
        <f>SUM(Table676769727514[[#This Row],[Bus ]:[Wheelchair]])</f>
        <v>213</v>
      </c>
    </row>
    <row r="164" spans="2:23" ht="19.2" x14ac:dyDescent="0.4">
      <c r="B164" s="8" t="s">
        <v>61</v>
      </c>
      <c r="C164" s="8" t="s">
        <v>92</v>
      </c>
      <c r="D164" s="9">
        <v>0</v>
      </c>
      <c r="E164" s="9">
        <v>1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10">
        <f>SUM(Table6767717413[[#This Row],[Bus ]:[Wheelchair]])</f>
        <v>1</v>
      </c>
      <c r="M164" s="8" t="s">
        <v>135</v>
      </c>
      <c r="N164" s="8" t="s">
        <v>92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1</v>
      </c>
      <c r="V164" s="10">
        <f>SUM(Table676769727514[[#This Row],[Bus ]:[Wheelchair]])</f>
        <v>1</v>
      </c>
    </row>
    <row r="165" spans="2:23" ht="19.2" x14ac:dyDescent="0.4">
      <c r="B165" s="8" t="s">
        <v>65</v>
      </c>
      <c r="C165" s="8" t="s">
        <v>92</v>
      </c>
      <c r="D165" s="9">
        <v>0</v>
      </c>
      <c r="E165" s="9">
        <v>1</v>
      </c>
      <c r="F165" s="9">
        <v>3</v>
      </c>
      <c r="G165" s="9">
        <v>1</v>
      </c>
      <c r="H165" s="9">
        <v>0</v>
      </c>
      <c r="I165" s="9">
        <v>0</v>
      </c>
      <c r="J165" s="9">
        <v>0</v>
      </c>
      <c r="K165" s="10">
        <f>SUM(Table6767717413[[#This Row],[Bus ]:[Wheelchair]])</f>
        <v>5</v>
      </c>
      <c r="M165" s="8" t="s">
        <v>61</v>
      </c>
      <c r="N165" s="8" t="s">
        <v>92</v>
      </c>
      <c r="O165" s="9">
        <v>0</v>
      </c>
      <c r="P165" s="9">
        <v>2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0">
        <f>SUM(Table676769727514[[#This Row],[Bus ]:[Wheelchair]])</f>
        <v>2</v>
      </c>
    </row>
    <row r="166" spans="2:23" ht="19.2" x14ac:dyDescent="0.4">
      <c r="B166" s="8" t="s">
        <v>66</v>
      </c>
      <c r="C166" s="8" t="s">
        <v>92</v>
      </c>
      <c r="D166" s="9">
        <v>0</v>
      </c>
      <c r="E166" s="9">
        <v>0</v>
      </c>
      <c r="F166" s="9">
        <v>15</v>
      </c>
      <c r="G166" s="9">
        <v>0</v>
      </c>
      <c r="H166" s="9">
        <v>0</v>
      </c>
      <c r="I166" s="9">
        <v>2</v>
      </c>
      <c r="J166" s="9">
        <v>0</v>
      </c>
      <c r="K166" s="10">
        <f>SUM(Table6767717413[[#This Row],[Bus ]:[Wheelchair]])</f>
        <v>17</v>
      </c>
      <c r="M166" s="8" t="s">
        <v>65</v>
      </c>
      <c r="N166" s="8" t="s">
        <v>92</v>
      </c>
      <c r="O166" s="9">
        <v>0</v>
      </c>
      <c r="P166" s="9">
        <v>3</v>
      </c>
      <c r="Q166" s="9">
        <v>6</v>
      </c>
      <c r="R166" s="9">
        <v>0</v>
      </c>
      <c r="S166" s="9">
        <v>0</v>
      </c>
      <c r="T166" s="9">
        <v>0</v>
      </c>
      <c r="U166" s="9">
        <v>0</v>
      </c>
      <c r="V166" s="10">
        <f>SUM(Table676769727514[[#This Row],[Bus ]:[Wheelchair]])</f>
        <v>9</v>
      </c>
    </row>
    <row r="167" spans="2:23" ht="19.2" x14ac:dyDescent="0.4">
      <c r="B167" s="8" t="s">
        <v>146</v>
      </c>
      <c r="C167" s="8" t="s">
        <v>93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2</v>
      </c>
      <c r="J167" s="9">
        <v>0</v>
      </c>
      <c r="K167" s="10">
        <f>SUM(Table6767717413[[#This Row],[Bus ]:[Wheelchair]])</f>
        <v>2</v>
      </c>
      <c r="M167" s="8" t="s">
        <v>66</v>
      </c>
      <c r="N167" s="8" t="s">
        <v>92</v>
      </c>
      <c r="O167" s="9">
        <v>0</v>
      </c>
      <c r="P167" s="9">
        <v>0</v>
      </c>
      <c r="Q167" s="9">
        <v>8</v>
      </c>
      <c r="R167" s="9">
        <v>0</v>
      </c>
      <c r="S167" s="9">
        <v>0</v>
      </c>
      <c r="T167" s="9">
        <v>0</v>
      </c>
      <c r="U167" s="9">
        <v>0</v>
      </c>
      <c r="V167" s="10">
        <f>SUM(Table676769727514[[#This Row],[Bus ]:[Wheelchair]])</f>
        <v>8</v>
      </c>
    </row>
    <row r="168" spans="2:23" ht="20.399999999999999" x14ac:dyDescent="0.4">
      <c r="B168" s="8" t="s">
        <v>147</v>
      </c>
      <c r="C168" s="8" t="s">
        <v>93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3</v>
      </c>
      <c r="J168" s="9">
        <v>0</v>
      </c>
      <c r="K168" s="10">
        <f>SUM(Table6767717413[[#This Row],[Bus ]:[Wheelchair]])</f>
        <v>3</v>
      </c>
      <c r="M168" s="31" t="s">
        <v>20</v>
      </c>
      <c r="N168" s="31"/>
      <c r="O168" s="32">
        <f>SUBTOTAL(109,Table676769727514[[Bus ]])</f>
        <v>0</v>
      </c>
      <c r="P168" s="32">
        <f>SUBTOTAL(109,Table676769727514[Cab])</f>
        <v>307</v>
      </c>
      <c r="Q168" s="32">
        <f>SUBTOTAL(109,Table676769727514[GMR])</f>
        <v>174</v>
      </c>
      <c r="R168" s="32">
        <f>SUBTOTAL(109,Table676769727514[Public Entity])</f>
        <v>3</v>
      </c>
      <c r="S168" s="32">
        <f>SUBTOTAL(109,Table676769727514[Stretcher])</f>
        <v>3</v>
      </c>
      <c r="T168" s="32">
        <f>SUBTOTAL(109,Table676769727514[TNC Vendor])</f>
        <v>45</v>
      </c>
      <c r="U168" s="32">
        <f>SUBTOTAL(109,Table676769727514[Wheelchair])</f>
        <v>26</v>
      </c>
      <c r="V168" s="32">
        <f>SUBTOTAL(109,Table676769727514[Total])</f>
        <v>558</v>
      </c>
      <c r="W168" s="33"/>
    </row>
    <row r="169" spans="2:23" ht="20.399999999999999" x14ac:dyDescent="0.4">
      <c r="B169" s="27" t="s">
        <v>20</v>
      </c>
      <c r="C169" s="27"/>
      <c r="D169" s="28">
        <f>SUBTOTAL(109,Table6767717413[[Bus ]])</f>
        <v>0</v>
      </c>
      <c r="E169" s="28">
        <f>SUBTOTAL(109,Table6767717413[Cab])</f>
        <v>110</v>
      </c>
      <c r="F169" s="28">
        <f>SUBTOTAL(109,Table6767717413[GMR])</f>
        <v>202</v>
      </c>
      <c r="G169" s="28">
        <f>SUBTOTAL(109,Table6767717413[Public Entity])</f>
        <v>4</v>
      </c>
      <c r="H169" s="28">
        <f>SUBTOTAL(109,Table6767717413[Stretcher])</f>
        <v>0</v>
      </c>
      <c r="I169" s="28">
        <f>SUBTOTAL(109,Table6767717413[TNC Vendor])</f>
        <v>179</v>
      </c>
      <c r="J169" s="28">
        <f>SUBTOTAL(109,Table6767717413[Wheelchair])</f>
        <v>37</v>
      </c>
      <c r="K169" s="28">
        <f>SUBTOTAL(109,Table6767717413[Total])</f>
        <v>532</v>
      </c>
      <c r="V169" s="12"/>
    </row>
    <row r="170" spans="2:23" x14ac:dyDescent="0.4">
      <c r="V170" s="12"/>
    </row>
    <row r="171" spans="2:23" x14ac:dyDescent="0.4">
      <c r="V171" s="12"/>
    </row>
    <row r="172" spans="2:23" ht="19.2" x14ac:dyDescent="0.45">
      <c r="B172" s="38">
        <v>45413</v>
      </c>
      <c r="C172" s="38"/>
      <c r="D172" s="38"/>
      <c r="E172" s="39" t="s">
        <v>22</v>
      </c>
      <c r="F172" s="39"/>
      <c r="G172" s="39"/>
      <c r="H172" s="39"/>
      <c r="I172" s="39"/>
      <c r="J172" s="39"/>
      <c r="K172" s="39"/>
      <c r="L172" s="1"/>
      <c r="M172" s="40">
        <v>45778</v>
      </c>
      <c r="N172" s="40"/>
      <c r="O172" s="40"/>
      <c r="P172" s="41" t="s">
        <v>22</v>
      </c>
      <c r="Q172" s="41"/>
      <c r="R172" s="41"/>
      <c r="S172" s="41"/>
      <c r="T172" s="41"/>
      <c r="U172" s="41"/>
      <c r="V172" s="41"/>
    </row>
    <row r="173" spans="2:23" ht="19.2" x14ac:dyDescent="0.45">
      <c r="B173" s="38"/>
      <c r="C173" s="38"/>
      <c r="D173" s="38"/>
      <c r="E173" s="39"/>
      <c r="F173" s="39"/>
      <c r="G173" s="39"/>
      <c r="H173" s="39"/>
      <c r="I173" s="39"/>
      <c r="J173" s="39"/>
      <c r="K173" s="39"/>
      <c r="L173" s="1"/>
      <c r="M173" s="40"/>
      <c r="N173" s="40"/>
      <c r="O173" s="40"/>
      <c r="P173" s="41"/>
      <c r="Q173" s="41"/>
      <c r="R173" s="41"/>
      <c r="S173" s="41"/>
      <c r="T173" s="41"/>
      <c r="U173" s="41"/>
      <c r="V173" s="41"/>
    </row>
    <row r="174" spans="2:23" ht="20.399999999999999" x14ac:dyDescent="0.45">
      <c r="B174" s="3" t="s">
        <v>23</v>
      </c>
      <c r="C174" s="3" t="s">
        <v>68</v>
      </c>
      <c r="D174" s="4" t="s">
        <v>25</v>
      </c>
      <c r="E174" s="4" t="s">
        <v>0</v>
      </c>
      <c r="F174" s="4" t="s">
        <v>26</v>
      </c>
      <c r="G174" s="4" t="s">
        <v>27</v>
      </c>
      <c r="H174" s="4" t="s">
        <v>1</v>
      </c>
      <c r="I174" s="4" t="s">
        <v>2</v>
      </c>
      <c r="J174" s="4" t="s">
        <v>3</v>
      </c>
      <c r="K174" s="4" t="s">
        <v>20</v>
      </c>
      <c r="L174" s="5"/>
      <c r="M174" s="6" t="s">
        <v>23</v>
      </c>
      <c r="N174" s="6" t="s">
        <v>68</v>
      </c>
      <c r="O174" s="7" t="s">
        <v>25</v>
      </c>
      <c r="P174" s="7" t="s">
        <v>0</v>
      </c>
      <c r="Q174" s="7" t="s">
        <v>26</v>
      </c>
      <c r="R174" s="7" t="s">
        <v>27</v>
      </c>
      <c r="S174" s="7" t="s">
        <v>1</v>
      </c>
      <c r="T174" s="7" t="s">
        <v>2</v>
      </c>
      <c r="U174" s="7" t="s">
        <v>3</v>
      </c>
      <c r="V174" s="7" t="s">
        <v>20</v>
      </c>
    </row>
    <row r="175" spans="2:23" ht="19.2" hidden="1" x14ac:dyDescent="0.4">
      <c r="B175" s="8" t="s">
        <v>64</v>
      </c>
      <c r="C175" s="8" t="s">
        <v>69</v>
      </c>
      <c r="D175" s="9">
        <v>0</v>
      </c>
      <c r="E175" s="9">
        <v>0</v>
      </c>
      <c r="F175" s="9">
        <v>22</v>
      </c>
      <c r="G175" s="9">
        <v>0</v>
      </c>
      <c r="H175" s="9">
        <v>0</v>
      </c>
      <c r="I175" s="9">
        <v>0</v>
      </c>
      <c r="J175" s="9">
        <v>0</v>
      </c>
      <c r="K175" s="10">
        <f>SUM(Table676771741320[[#This Row],[Bus ]:[Wheelchair]])</f>
        <v>22</v>
      </c>
      <c r="M175" s="8" t="s">
        <v>64</v>
      </c>
      <c r="N175" s="8" t="s">
        <v>69</v>
      </c>
      <c r="O175" s="9">
        <v>825</v>
      </c>
      <c r="P175" s="9">
        <v>0</v>
      </c>
      <c r="Q175" s="9">
        <v>13</v>
      </c>
      <c r="R175" s="9">
        <v>24</v>
      </c>
      <c r="S175" s="9">
        <v>0</v>
      </c>
      <c r="T175" s="9">
        <v>0</v>
      </c>
      <c r="U175" s="9">
        <v>0</v>
      </c>
      <c r="V175" s="10">
        <f>SUM(Table67676972751421[[#This Row],[Bus ]:[Wheelchair]])</f>
        <v>862</v>
      </c>
    </row>
    <row r="176" spans="2:23" ht="19.2" x14ac:dyDescent="0.4">
      <c r="B176" s="8" t="s">
        <v>43</v>
      </c>
      <c r="C176" s="8" t="s">
        <v>72</v>
      </c>
      <c r="D176" s="9">
        <v>0</v>
      </c>
      <c r="E176" s="9">
        <v>3</v>
      </c>
      <c r="F176" s="9">
        <v>1</v>
      </c>
      <c r="G176" s="9">
        <v>0</v>
      </c>
      <c r="H176" s="9">
        <v>0</v>
      </c>
      <c r="I176" s="9">
        <v>1</v>
      </c>
      <c r="J176" s="9">
        <v>0</v>
      </c>
      <c r="K176" s="10">
        <f>SUM(Table676771741320[[#This Row],[Bus ]:[Wheelchair]])</f>
        <v>5</v>
      </c>
      <c r="M176" s="8" t="s">
        <v>43</v>
      </c>
      <c r="N176" s="8" t="s">
        <v>72</v>
      </c>
      <c r="O176" s="9">
        <v>0</v>
      </c>
      <c r="P176" s="9">
        <v>73</v>
      </c>
      <c r="Q176" s="9">
        <v>0</v>
      </c>
      <c r="R176" s="9">
        <v>0</v>
      </c>
      <c r="S176" s="9">
        <v>0</v>
      </c>
      <c r="T176" s="9">
        <v>1</v>
      </c>
      <c r="U176" s="9">
        <v>0</v>
      </c>
      <c r="V176" s="10">
        <f>SUM(Table67676972751421[[#This Row],[Bus ]:[Wheelchair]])</f>
        <v>74</v>
      </c>
    </row>
    <row r="177" spans="2:22" ht="19.2" x14ac:dyDescent="0.4">
      <c r="B177" s="8" t="s">
        <v>44</v>
      </c>
      <c r="C177" s="8" t="s">
        <v>72</v>
      </c>
      <c r="D177" s="9">
        <v>0</v>
      </c>
      <c r="E177" s="9">
        <v>8</v>
      </c>
      <c r="F177" s="9">
        <v>14</v>
      </c>
      <c r="G177" s="9">
        <v>1</v>
      </c>
      <c r="H177" s="9">
        <v>0</v>
      </c>
      <c r="I177" s="9">
        <v>3</v>
      </c>
      <c r="J177" s="9">
        <v>1</v>
      </c>
      <c r="K177" s="10">
        <f>SUM(Table676771741320[[#This Row],[Bus ]:[Wheelchair]])</f>
        <v>27</v>
      </c>
      <c r="M177" s="8" t="s">
        <v>44</v>
      </c>
      <c r="N177" s="8" t="s">
        <v>72</v>
      </c>
      <c r="O177" s="9">
        <v>0</v>
      </c>
      <c r="P177" s="9">
        <v>1</v>
      </c>
      <c r="Q177" s="9">
        <v>3</v>
      </c>
      <c r="R177" s="9">
        <v>0</v>
      </c>
      <c r="S177" s="9">
        <v>0</v>
      </c>
      <c r="T177" s="9">
        <v>2</v>
      </c>
      <c r="U177" s="9">
        <v>1</v>
      </c>
      <c r="V177" s="10">
        <f>SUM(Table67676972751421[[#This Row],[Bus ]:[Wheelchair]])</f>
        <v>7</v>
      </c>
    </row>
    <row r="178" spans="2:22" ht="19.2" x14ac:dyDescent="0.4">
      <c r="B178" s="8" t="s">
        <v>125</v>
      </c>
      <c r="C178" s="8" t="s">
        <v>72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1</v>
      </c>
      <c r="J178" s="9">
        <v>0</v>
      </c>
      <c r="K178" s="10">
        <f>SUM(Table676771741320[[#This Row],[Bus ]:[Wheelchair]])</f>
        <v>1</v>
      </c>
      <c r="M178" s="8" t="s">
        <v>38</v>
      </c>
      <c r="N178" s="8" t="s">
        <v>74</v>
      </c>
      <c r="O178" s="9">
        <v>0</v>
      </c>
      <c r="P178" s="9">
        <v>5</v>
      </c>
      <c r="Q178" s="9">
        <v>2</v>
      </c>
      <c r="R178" s="9">
        <v>0</v>
      </c>
      <c r="S178" s="9">
        <v>0</v>
      </c>
      <c r="T178" s="9">
        <v>0</v>
      </c>
      <c r="U178" s="9">
        <v>0</v>
      </c>
      <c r="V178" s="10">
        <f>SUM(Table67676972751421[[#This Row],[Bus ]:[Wheelchair]])</f>
        <v>7</v>
      </c>
    </row>
    <row r="179" spans="2:22" ht="19.2" x14ac:dyDescent="0.4">
      <c r="B179" s="8" t="s">
        <v>33</v>
      </c>
      <c r="C179" s="8" t="s">
        <v>74</v>
      </c>
      <c r="D179" s="9">
        <v>0</v>
      </c>
      <c r="E179" s="9">
        <v>0</v>
      </c>
      <c r="F179" s="9">
        <v>1</v>
      </c>
      <c r="G179" s="9">
        <v>0</v>
      </c>
      <c r="H179" s="9">
        <v>0</v>
      </c>
      <c r="I179" s="9">
        <v>2</v>
      </c>
      <c r="J179" s="9">
        <v>0</v>
      </c>
      <c r="K179" s="10">
        <f>SUM(Table676771741320[[#This Row],[Bus ]:[Wheelchair]])</f>
        <v>3</v>
      </c>
      <c r="M179" s="8" t="s">
        <v>148</v>
      </c>
      <c r="N179" s="8" t="s">
        <v>74</v>
      </c>
      <c r="O179" s="9">
        <v>0</v>
      </c>
      <c r="P179" s="9">
        <v>1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0">
        <f>SUM(Table67676972751421[[#This Row],[Bus ]:[Wheelchair]])</f>
        <v>1</v>
      </c>
    </row>
    <row r="180" spans="2:22" ht="19.2" x14ac:dyDescent="0.4">
      <c r="B180" s="8" t="s">
        <v>38</v>
      </c>
      <c r="C180" s="8" t="s">
        <v>74</v>
      </c>
      <c r="D180" s="9">
        <v>0</v>
      </c>
      <c r="E180" s="9">
        <v>3</v>
      </c>
      <c r="F180" s="9">
        <v>1</v>
      </c>
      <c r="G180" s="9">
        <v>0</v>
      </c>
      <c r="H180" s="9">
        <v>0</v>
      </c>
      <c r="I180" s="9">
        <v>0</v>
      </c>
      <c r="J180" s="9">
        <v>0</v>
      </c>
      <c r="K180" s="10">
        <f>SUM(Table676771741320[[#This Row],[Bus ]:[Wheelchair]])</f>
        <v>4</v>
      </c>
      <c r="M180" s="8" t="s">
        <v>42</v>
      </c>
      <c r="N180" s="8" t="s">
        <v>74</v>
      </c>
      <c r="O180" s="9">
        <v>0</v>
      </c>
      <c r="P180" s="9">
        <v>101</v>
      </c>
      <c r="Q180" s="9">
        <v>10</v>
      </c>
      <c r="R180" s="9">
        <v>6</v>
      </c>
      <c r="S180" s="9">
        <v>1</v>
      </c>
      <c r="T180" s="9">
        <v>4</v>
      </c>
      <c r="U180" s="9">
        <v>0</v>
      </c>
      <c r="V180" s="10">
        <f>SUM(Table67676972751421[[#This Row],[Bus ]:[Wheelchair]])</f>
        <v>122</v>
      </c>
    </row>
    <row r="181" spans="2:22" ht="19.2" x14ac:dyDescent="0.4">
      <c r="B181" s="8" t="s">
        <v>105</v>
      </c>
      <c r="C181" s="8" t="s">
        <v>74</v>
      </c>
      <c r="D181" s="9">
        <v>0</v>
      </c>
      <c r="E181" s="9">
        <v>16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10">
        <f>SUM(Table676771741320[[#This Row],[Bus ]:[Wheelchair]])</f>
        <v>16</v>
      </c>
      <c r="M181" s="8" t="s">
        <v>76</v>
      </c>
      <c r="N181" s="8" t="s">
        <v>74</v>
      </c>
      <c r="O181" s="9">
        <v>0</v>
      </c>
      <c r="P181" s="9">
        <v>0</v>
      </c>
      <c r="Q181" s="9">
        <v>2</v>
      </c>
      <c r="R181" s="9">
        <v>0</v>
      </c>
      <c r="S181" s="9">
        <v>0</v>
      </c>
      <c r="T181" s="9">
        <v>0</v>
      </c>
      <c r="U181" s="9">
        <v>0</v>
      </c>
      <c r="V181" s="10">
        <f>SUM(Table67676972751421[[#This Row],[Bus ]:[Wheelchair]])</f>
        <v>2</v>
      </c>
    </row>
    <row r="182" spans="2:22" ht="19.2" x14ac:dyDescent="0.4">
      <c r="B182" s="8" t="s">
        <v>42</v>
      </c>
      <c r="C182" s="8" t="s">
        <v>74</v>
      </c>
      <c r="D182" s="9">
        <v>0</v>
      </c>
      <c r="E182" s="9">
        <v>58</v>
      </c>
      <c r="F182" s="9">
        <v>59</v>
      </c>
      <c r="G182" s="9">
        <v>10</v>
      </c>
      <c r="H182" s="9">
        <v>5</v>
      </c>
      <c r="I182" s="9">
        <v>26</v>
      </c>
      <c r="J182" s="9">
        <v>1</v>
      </c>
      <c r="K182" s="10">
        <f>SUM(Table676771741320[[#This Row],[Bus ]:[Wheelchair]])</f>
        <v>159</v>
      </c>
      <c r="M182" s="8" t="s">
        <v>56</v>
      </c>
      <c r="N182" s="8" t="s">
        <v>74</v>
      </c>
      <c r="O182" s="9">
        <v>0</v>
      </c>
      <c r="P182" s="9">
        <v>0</v>
      </c>
      <c r="Q182" s="9">
        <v>5</v>
      </c>
      <c r="R182" s="9">
        <v>0</v>
      </c>
      <c r="S182" s="9">
        <v>0</v>
      </c>
      <c r="T182" s="9">
        <v>0</v>
      </c>
      <c r="U182" s="9">
        <v>0</v>
      </c>
      <c r="V182" s="10">
        <f>SUM(Table67676972751421[[#This Row],[Bus ]:[Wheelchair]])</f>
        <v>5</v>
      </c>
    </row>
    <row r="183" spans="2:22" ht="19.2" x14ac:dyDescent="0.4">
      <c r="B183" s="8" t="s">
        <v>76</v>
      </c>
      <c r="C183" s="8" t="s">
        <v>74</v>
      </c>
      <c r="D183" s="9">
        <v>0</v>
      </c>
      <c r="E183" s="9">
        <v>0</v>
      </c>
      <c r="F183" s="9">
        <v>1</v>
      </c>
      <c r="G183" s="9">
        <v>0</v>
      </c>
      <c r="H183" s="9">
        <v>0</v>
      </c>
      <c r="I183" s="9">
        <v>0</v>
      </c>
      <c r="J183" s="9">
        <v>0</v>
      </c>
      <c r="K183" s="10">
        <f>SUM(Table676771741320[[#This Row],[Bus ]:[Wheelchair]])</f>
        <v>1</v>
      </c>
      <c r="M183" s="8" t="s">
        <v>59</v>
      </c>
      <c r="N183" s="8" t="s">
        <v>74</v>
      </c>
      <c r="O183" s="9">
        <v>0</v>
      </c>
      <c r="P183" s="9">
        <v>8</v>
      </c>
      <c r="Q183" s="9">
        <v>2</v>
      </c>
      <c r="R183" s="9">
        <v>0</v>
      </c>
      <c r="S183" s="9">
        <v>0</v>
      </c>
      <c r="T183" s="9">
        <v>3</v>
      </c>
      <c r="U183" s="9">
        <v>0</v>
      </c>
      <c r="V183" s="10">
        <f>SUM(Table67676972751421[[#This Row],[Bus ]:[Wheelchair]])</f>
        <v>13</v>
      </c>
    </row>
    <row r="184" spans="2:22" ht="19.2" x14ac:dyDescent="0.4">
      <c r="B184" s="8" t="s">
        <v>52</v>
      </c>
      <c r="C184" s="8" t="s">
        <v>74</v>
      </c>
      <c r="D184" s="9">
        <v>0</v>
      </c>
      <c r="E184" s="9">
        <v>7</v>
      </c>
      <c r="F184" s="9">
        <v>8</v>
      </c>
      <c r="G184" s="9">
        <v>0</v>
      </c>
      <c r="H184" s="9">
        <v>0</v>
      </c>
      <c r="I184" s="9">
        <v>0</v>
      </c>
      <c r="J184" s="9">
        <v>0</v>
      </c>
      <c r="K184" s="10">
        <f>SUM(Table676771741320[[#This Row],[Bus ]:[Wheelchair]])</f>
        <v>15</v>
      </c>
      <c r="M184" s="8" t="s">
        <v>60</v>
      </c>
      <c r="N184" s="8" t="s">
        <v>74</v>
      </c>
      <c r="O184" s="9">
        <v>0</v>
      </c>
      <c r="P184" s="9">
        <v>6</v>
      </c>
      <c r="Q184" s="9">
        <v>3</v>
      </c>
      <c r="R184" s="9">
        <v>0</v>
      </c>
      <c r="S184" s="9">
        <v>0</v>
      </c>
      <c r="T184" s="9">
        <v>1</v>
      </c>
      <c r="U184" s="9">
        <v>0</v>
      </c>
      <c r="V184" s="10">
        <f>SUM(Table67676972751421[[#This Row],[Bus ]:[Wheelchair]])</f>
        <v>10</v>
      </c>
    </row>
    <row r="185" spans="2:22" ht="19.2" x14ac:dyDescent="0.4">
      <c r="B185" s="8" t="s">
        <v>56</v>
      </c>
      <c r="C185" s="8" t="s">
        <v>74</v>
      </c>
      <c r="D185" s="9">
        <v>0</v>
      </c>
      <c r="E185" s="9">
        <v>26</v>
      </c>
      <c r="F185" s="9">
        <v>5</v>
      </c>
      <c r="G185" s="9">
        <v>0</v>
      </c>
      <c r="H185" s="9">
        <v>0</v>
      </c>
      <c r="I185" s="9">
        <v>7</v>
      </c>
      <c r="J185" s="9">
        <v>0</v>
      </c>
      <c r="K185" s="10">
        <f>SUM(Table676771741320[[#This Row],[Bus ]:[Wheelchair]])</f>
        <v>38</v>
      </c>
      <c r="M185" s="8" t="s">
        <v>84</v>
      </c>
      <c r="N185" s="8" t="s">
        <v>74</v>
      </c>
      <c r="O185" s="9">
        <v>0</v>
      </c>
      <c r="P185" s="9">
        <v>0</v>
      </c>
      <c r="Q185" s="9">
        <v>0</v>
      </c>
      <c r="R185" s="9">
        <v>0</v>
      </c>
      <c r="S185" s="9">
        <v>2</v>
      </c>
      <c r="T185" s="9">
        <v>0</v>
      </c>
      <c r="U185" s="9">
        <v>0</v>
      </c>
      <c r="V185" s="10">
        <f>SUM(Table67676972751421[[#This Row],[Bus ]:[Wheelchair]])</f>
        <v>2</v>
      </c>
    </row>
    <row r="186" spans="2:22" ht="19.2" x14ac:dyDescent="0.4">
      <c r="B186" s="8" t="s">
        <v>131</v>
      </c>
      <c r="C186" s="8" t="s">
        <v>74</v>
      </c>
      <c r="D186" s="9">
        <v>0</v>
      </c>
      <c r="E186" s="9">
        <v>2</v>
      </c>
      <c r="F186" s="9">
        <v>1</v>
      </c>
      <c r="G186" s="9">
        <v>0</v>
      </c>
      <c r="H186" s="9">
        <v>0</v>
      </c>
      <c r="I186" s="9">
        <v>0</v>
      </c>
      <c r="J186" s="9">
        <v>1</v>
      </c>
      <c r="K186" s="10">
        <f>SUM(Table676771741320[[#This Row],[Bus ]:[Wheelchair]])</f>
        <v>4</v>
      </c>
      <c r="M186" s="8" t="s">
        <v>134</v>
      </c>
      <c r="N186" s="8" t="s">
        <v>127</v>
      </c>
      <c r="O186" s="9">
        <v>0</v>
      </c>
      <c r="P186" s="9">
        <v>1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0">
        <f>SUM(Table67676972751421[[#This Row],[Bus ]:[Wheelchair]])</f>
        <v>1</v>
      </c>
    </row>
    <row r="187" spans="2:22" ht="19.2" x14ac:dyDescent="0.4">
      <c r="B187" s="8" t="s">
        <v>59</v>
      </c>
      <c r="C187" s="8" t="s">
        <v>74</v>
      </c>
      <c r="D187" s="9">
        <v>0</v>
      </c>
      <c r="E187" s="9">
        <v>1</v>
      </c>
      <c r="F187" s="9">
        <v>0</v>
      </c>
      <c r="G187" s="9">
        <v>0</v>
      </c>
      <c r="H187" s="9">
        <v>0</v>
      </c>
      <c r="I187" s="9">
        <v>4</v>
      </c>
      <c r="J187" s="9">
        <v>0</v>
      </c>
      <c r="K187" s="10">
        <f>SUM(Table676771741320[[#This Row],[Bus ]:[Wheelchair]])</f>
        <v>5</v>
      </c>
      <c r="M187" s="8" t="s">
        <v>40</v>
      </c>
      <c r="N187" s="8" t="s">
        <v>79</v>
      </c>
      <c r="O187" s="9">
        <v>0</v>
      </c>
      <c r="P187" s="9">
        <v>1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0">
        <f>SUM(Table67676972751421[[#This Row],[Bus ]:[Wheelchair]])</f>
        <v>1</v>
      </c>
    </row>
    <row r="188" spans="2:22" ht="19.2" x14ac:dyDescent="0.4">
      <c r="B188" s="8" t="s">
        <v>60</v>
      </c>
      <c r="C188" s="8" t="s">
        <v>74</v>
      </c>
      <c r="D188" s="9">
        <v>0</v>
      </c>
      <c r="E188" s="9">
        <v>2</v>
      </c>
      <c r="F188" s="9">
        <v>3</v>
      </c>
      <c r="G188" s="9">
        <v>1</v>
      </c>
      <c r="H188" s="9">
        <v>0</v>
      </c>
      <c r="I188" s="9">
        <v>3</v>
      </c>
      <c r="J188" s="9">
        <v>0</v>
      </c>
      <c r="K188" s="10">
        <f>SUM(Table676771741320[[#This Row],[Bus ]:[Wheelchair]])</f>
        <v>9</v>
      </c>
      <c r="M188" s="8" t="s">
        <v>63</v>
      </c>
      <c r="N188" s="8" t="s">
        <v>79</v>
      </c>
      <c r="O188" s="9">
        <v>0</v>
      </c>
      <c r="P188" s="9">
        <v>3</v>
      </c>
      <c r="Q188" s="9">
        <v>18</v>
      </c>
      <c r="R188" s="9">
        <v>1</v>
      </c>
      <c r="S188" s="9">
        <v>0</v>
      </c>
      <c r="T188" s="9">
        <v>0</v>
      </c>
      <c r="U188" s="9">
        <v>0</v>
      </c>
      <c r="V188" s="10">
        <f>SUM(Table67676972751421[[#This Row],[Bus ]:[Wheelchair]])</f>
        <v>22</v>
      </c>
    </row>
    <row r="189" spans="2:22" ht="19.2" x14ac:dyDescent="0.4">
      <c r="B189" s="8" t="s">
        <v>129</v>
      </c>
      <c r="C189" s="8" t="s">
        <v>78</v>
      </c>
      <c r="D189" s="9">
        <v>0</v>
      </c>
      <c r="E189" s="9">
        <v>0</v>
      </c>
      <c r="F189" s="9">
        <v>1</v>
      </c>
      <c r="G189" s="9">
        <v>0</v>
      </c>
      <c r="H189" s="9">
        <v>0</v>
      </c>
      <c r="I189" s="9">
        <v>0</v>
      </c>
      <c r="J189" s="9">
        <v>0</v>
      </c>
      <c r="K189" s="10">
        <f>SUM(Table676771741320[[#This Row],[Bus ]:[Wheelchair]])</f>
        <v>1</v>
      </c>
      <c r="M189" s="8" t="s">
        <v>97</v>
      </c>
      <c r="N189" s="8" t="s">
        <v>81</v>
      </c>
      <c r="O189" s="9">
        <v>0</v>
      </c>
      <c r="P189" s="9">
        <v>0</v>
      </c>
      <c r="Q189" s="9">
        <v>2</v>
      </c>
      <c r="R189" s="9">
        <v>0</v>
      </c>
      <c r="S189" s="9">
        <v>0</v>
      </c>
      <c r="T189" s="9">
        <v>0</v>
      </c>
      <c r="U189" s="9">
        <v>0</v>
      </c>
      <c r="V189" s="10">
        <f>SUM(Table67676972751421[[#This Row],[Bus ]:[Wheelchair]])</f>
        <v>2</v>
      </c>
    </row>
    <row r="190" spans="2:22" ht="19.2" x14ac:dyDescent="0.4">
      <c r="B190" s="8" t="s">
        <v>63</v>
      </c>
      <c r="C190" s="8" t="s">
        <v>79</v>
      </c>
      <c r="D190" s="9">
        <v>0</v>
      </c>
      <c r="E190" s="9">
        <v>3</v>
      </c>
      <c r="F190" s="9">
        <v>1</v>
      </c>
      <c r="G190" s="9">
        <v>0</v>
      </c>
      <c r="H190" s="9">
        <v>0</v>
      </c>
      <c r="I190" s="9">
        <v>0</v>
      </c>
      <c r="J190" s="9">
        <v>0</v>
      </c>
      <c r="K190" s="10">
        <f>SUM(Table676771741320[[#This Row],[Bus ]:[Wheelchair]])</f>
        <v>4</v>
      </c>
      <c r="M190" s="8" t="s">
        <v>120</v>
      </c>
      <c r="N190" s="8" t="s">
        <v>83</v>
      </c>
      <c r="O190" s="9">
        <v>0</v>
      </c>
      <c r="P190" s="9">
        <v>0</v>
      </c>
      <c r="Q190" s="9">
        <v>0</v>
      </c>
      <c r="R190" s="9">
        <v>1</v>
      </c>
      <c r="S190" s="9">
        <v>0</v>
      </c>
      <c r="T190" s="9">
        <v>0</v>
      </c>
      <c r="U190" s="9">
        <v>0</v>
      </c>
      <c r="V190" s="10">
        <f>SUM(Table67676972751421[[#This Row],[Bus ]:[Wheelchair]])</f>
        <v>1</v>
      </c>
    </row>
    <row r="191" spans="2:22" ht="19.2" x14ac:dyDescent="0.4">
      <c r="B191" s="8" t="s">
        <v>143</v>
      </c>
      <c r="C191" s="8" t="s">
        <v>85</v>
      </c>
      <c r="D191" s="9">
        <v>0</v>
      </c>
      <c r="E191" s="9">
        <v>1</v>
      </c>
      <c r="F191" s="9">
        <v>1</v>
      </c>
      <c r="G191" s="9">
        <v>0</v>
      </c>
      <c r="H191" s="9">
        <v>0</v>
      </c>
      <c r="I191" s="9">
        <v>0</v>
      </c>
      <c r="J191" s="9">
        <v>0</v>
      </c>
      <c r="K191" s="10">
        <f>SUM(Table676771741320[[#This Row],[Bus ]:[Wheelchair]])</f>
        <v>2</v>
      </c>
      <c r="M191" s="8" t="s">
        <v>150</v>
      </c>
      <c r="N191" s="8" t="s">
        <v>149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1</v>
      </c>
      <c r="V191" s="10">
        <f>SUM(Table67676972751421[[#This Row],[Bus ]:[Wheelchair]])</f>
        <v>1</v>
      </c>
    </row>
    <row r="192" spans="2:22" ht="19.2" x14ac:dyDescent="0.4">
      <c r="B192" s="8" t="s">
        <v>32</v>
      </c>
      <c r="C192" s="8" t="s">
        <v>87</v>
      </c>
      <c r="D192" s="9">
        <v>0</v>
      </c>
      <c r="E192" s="9">
        <v>2</v>
      </c>
      <c r="F192" s="9">
        <v>15</v>
      </c>
      <c r="G192" s="9">
        <v>0</v>
      </c>
      <c r="H192" s="9">
        <v>0</v>
      </c>
      <c r="I192" s="9">
        <v>0</v>
      </c>
      <c r="J192" s="9">
        <v>0</v>
      </c>
      <c r="K192" s="10">
        <f>SUM(Table676771741320[[#This Row],[Bus ]:[Wheelchair]])</f>
        <v>17</v>
      </c>
      <c r="M192" s="8" t="s">
        <v>32</v>
      </c>
      <c r="N192" s="8" t="s">
        <v>87</v>
      </c>
      <c r="O192" s="9">
        <v>0</v>
      </c>
      <c r="P192" s="9">
        <v>0</v>
      </c>
      <c r="Q192" s="9">
        <v>13</v>
      </c>
      <c r="R192" s="9">
        <v>0</v>
      </c>
      <c r="S192" s="9">
        <v>0</v>
      </c>
      <c r="T192" s="9">
        <v>1</v>
      </c>
      <c r="U192" s="9">
        <v>0</v>
      </c>
      <c r="V192" s="10">
        <f>SUM(Table67676972751421[[#This Row],[Bus ]:[Wheelchair]])</f>
        <v>14</v>
      </c>
    </row>
    <row r="193" spans="2:22" ht="19.2" x14ac:dyDescent="0.4">
      <c r="B193" s="8" t="s">
        <v>153</v>
      </c>
      <c r="C193" s="8" t="s">
        <v>151</v>
      </c>
      <c r="D193" s="9">
        <v>0</v>
      </c>
      <c r="E193" s="9">
        <v>1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10">
        <f>SUM(Table676771741320[[#This Row],[Bus ]:[Wheelchair]])</f>
        <v>1</v>
      </c>
      <c r="M193" s="8" t="s">
        <v>50</v>
      </c>
      <c r="N193" s="8" t="s">
        <v>87</v>
      </c>
      <c r="O193" s="9">
        <v>0</v>
      </c>
      <c r="P193" s="9">
        <v>0</v>
      </c>
      <c r="Q193" s="9">
        <v>1</v>
      </c>
      <c r="R193" s="9">
        <v>0</v>
      </c>
      <c r="S193" s="9">
        <v>0</v>
      </c>
      <c r="T193" s="9">
        <v>0</v>
      </c>
      <c r="U193" s="9">
        <v>0</v>
      </c>
      <c r="V193" s="10">
        <f>SUM(Table67676972751421[[#This Row],[Bus ]:[Wheelchair]])</f>
        <v>1</v>
      </c>
    </row>
    <row r="194" spans="2:22" ht="19.2" x14ac:dyDescent="0.4">
      <c r="B194" s="8" t="s">
        <v>154</v>
      </c>
      <c r="C194" s="8" t="s">
        <v>152</v>
      </c>
      <c r="D194" s="9">
        <v>0</v>
      </c>
      <c r="E194" s="9">
        <v>0</v>
      </c>
      <c r="F194" s="9">
        <v>1</v>
      </c>
      <c r="G194" s="9">
        <v>0</v>
      </c>
      <c r="H194" s="9">
        <v>0</v>
      </c>
      <c r="I194" s="9">
        <v>0</v>
      </c>
      <c r="J194" s="9">
        <v>0</v>
      </c>
      <c r="K194" s="10">
        <f>SUM(Table676771741320[[#This Row],[Bus ]:[Wheelchair]])</f>
        <v>1</v>
      </c>
      <c r="M194" s="8" t="s">
        <v>121</v>
      </c>
      <c r="N194" s="8" t="s">
        <v>114</v>
      </c>
      <c r="O194" s="9">
        <v>0</v>
      </c>
      <c r="P194" s="9">
        <v>2</v>
      </c>
      <c r="Q194" s="9">
        <v>1</v>
      </c>
      <c r="R194" s="9">
        <v>0</v>
      </c>
      <c r="S194" s="9">
        <v>0</v>
      </c>
      <c r="T194" s="9">
        <v>2</v>
      </c>
      <c r="U194" s="9">
        <v>0</v>
      </c>
      <c r="V194" s="10">
        <f>SUM(Table67676972751421[[#This Row],[Bus ]:[Wheelchair]])</f>
        <v>5</v>
      </c>
    </row>
    <row r="195" spans="2:22" ht="19.2" x14ac:dyDescent="0.4">
      <c r="B195" s="8" t="s">
        <v>101</v>
      </c>
      <c r="C195" s="8" t="s">
        <v>92</v>
      </c>
      <c r="D195" s="9">
        <v>0</v>
      </c>
      <c r="E195" s="9">
        <v>0</v>
      </c>
      <c r="F195" s="9">
        <v>1</v>
      </c>
      <c r="G195" s="9">
        <v>0</v>
      </c>
      <c r="H195" s="9">
        <v>0</v>
      </c>
      <c r="I195" s="9">
        <v>0</v>
      </c>
      <c r="J195" s="9">
        <v>0</v>
      </c>
      <c r="K195" s="10">
        <f>SUM(Table676771741320[[#This Row],[Bus ]:[Wheelchair]])</f>
        <v>1</v>
      </c>
      <c r="M195" s="8" t="s">
        <v>132</v>
      </c>
      <c r="N195" s="8" t="s">
        <v>115</v>
      </c>
      <c r="O195" s="9">
        <v>0</v>
      </c>
      <c r="P195" s="9">
        <v>1</v>
      </c>
      <c r="Q195" s="9">
        <v>2</v>
      </c>
      <c r="R195" s="9">
        <v>0</v>
      </c>
      <c r="S195" s="9">
        <v>0</v>
      </c>
      <c r="T195" s="9">
        <v>0</v>
      </c>
      <c r="U195" s="9">
        <v>0</v>
      </c>
      <c r="V195" s="10">
        <f>SUM(Table67676972751421[[#This Row],[Bus ]:[Wheelchair]])</f>
        <v>3</v>
      </c>
    </row>
    <row r="196" spans="2:22" ht="19.2" x14ac:dyDescent="0.4">
      <c r="B196" s="8" t="s">
        <v>155</v>
      </c>
      <c r="C196" s="8" t="s">
        <v>92</v>
      </c>
      <c r="D196" s="9">
        <v>0</v>
      </c>
      <c r="E196" s="9">
        <v>1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10">
        <f>SUM(Table676771741320[[#This Row],[Bus ]:[Wheelchair]])</f>
        <v>1</v>
      </c>
      <c r="M196" s="8" t="s">
        <v>55</v>
      </c>
      <c r="N196" s="8" t="s">
        <v>92</v>
      </c>
      <c r="O196" s="9">
        <v>0</v>
      </c>
      <c r="P196" s="9">
        <v>101</v>
      </c>
      <c r="Q196" s="9">
        <v>51</v>
      </c>
      <c r="R196" s="9">
        <v>8</v>
      </c>
      <c r="S196" s="9">
        <v>2</v>
      </c>
      <c r="T196" s="9">
        <v>21</v>
      </c>
      <c r="U196" s="9">
        <v>7</v>
      </c>
      <c r="V196" s="10">
        <f>SUM(Table67676972751421[[#This Row],[Bus ]:[Wheelchair]])</f>
        <v>190</v>
      </c>
    </row>
    <row r="197" spans="2:22" ht="19.2" x14ac:dyDescent="0.4">
      <c r="B197" s="8" t="s">
        <v>55</v>
      </c>
      <c r="C197" s="8" t="s">
        <v>92</v>
      </c>
      <c r="D197" s="9">
        <v>0</v>
      </c>
      <c r="E197" s="9">
        <v>77</v>
      </c>
      <c r="F197" s="9">
        <v>56</v>
      </c>
      <c r="G197" s="9">
        <v>1</v>
      </c>
      <c r="H197" s="9">
        <v>0</v>
      </c>
      <c r="I197" s="9">
        <v>104</v>
      </c>
      <c r="J197" s="9">
        <v>5</v>
      </c>
      <c r="K197" s="10">
        <f>SUM(Table676771741320[[#This Row],[Bus ]:[Wheelchair]])</f>
        <v>243</v>
      </c>
      <c r="M197" s="8" t="s">
        <v>61</v>
      </c>
      <c r="N197" s="8" t="s">
        <v>92</v>
      </c>
      <c r="O197" s="9">
        <v>0</v>
      </c>
      <c r="P197" s="9">
        <v>2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0">
        <f>SUM(Table67676972751421[[#This Row],[Bus ]:[Wheelchair]])</f>
        <v>2</v>
      </c>
    </row>
    <row r="198" spans="2:22" ht="19.2" x14ac:dyDescent="0.4">
      <c r="B198" s="8" t="s">
        <v>61</v>
      </c>
      <c r="C198" s="8" t="s">
        <v>92</v>
      </c>
      <c r="D198" s="9">
        <v>0</v>
      </c>
      <c r="E198" s="9">
        <v>4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10">
        <f>SUM(Table676771741320[[#This Row],[Bus ]:[Wheelchair]])</f>
        <v>4</v>
      </c>
      <c r="M198" s="8" t="s">
        <v>65</v>
      </c>
      <c r="N198" s="8" t="s">
        <v>92</v>
      </c>
      <c r="O198" s="9">
        <v>0</v>
      </c>
      <c r="P198" s="9">
        <v>0</v>
      </c>
      <c r="Q198" s="9">
        <v>10</v>
      </c>
      <c r="R198" s="9">
        <v>0</v>
      </c>
      <c r="S198" s="9">
        <v>0</v>
      </c>
      <c r="T198" s="9">
        <v>0</v>
      </c>
      <c r="U198" s="9">
        <v>0</v>
      </c>
      <c r="V198" s="10">
        <f>SUM(Table67676972751421[[#This Row],[Bus ]:[Wheelchair]])</f>
        <v>10</v>
      </c>
    </row>
    <row r="199" spans="2:22" ht="19.2" x14ac:dyDescent="0.4">
      <c r="B199" s="8" t="s">
        <v>65</v>
      </c>
      <c r="C199" s="8" t="s">
        <v>92</v>
      </c>
      <c r="D199" s="9">
        <v>0</v>
      </c>
      <c r="E199" s="9">
        <v>1</v>
      </c>
      <c r="F199" s="9">
        <v>3</v>
      </c>
      <c r="G199" s="9">
        <v>0</v>
      </c>
      <c r="H199" s="9">
        <v>0</v>
      </c>
      <c r="I199" s="9">
        <v>0</v>
      </c>
      <c r="J199" s="9">
        <v>0</v>
      </c>
      <c r="K199" s="10">
        <f>SUM(Table676771741320[[#This Row],[Bus ]:[Wheelchair]])</f>
        <v>4</v>
      </c>
      <c r="M199" s="8" t="s">
        <v>66</v>
      </c>
      <c r="N199" s="8" t="s">
        <v>92</v>
      </c>
      <c r="O199" s="9">
        <v>0</v>
      </c>
      <c r="P199" s="9">
        <v>1</v>
      </c>
      <c r="Q199" s="9">
        <v>9</v>
      </c>
      <c r="R199" s="9">
        <v>0</v>
      </c>
      <c r="S199" s="9">
        <v>0</v>
      </c>
      <c r="T199" s="9">
        <v>0</v>
      </c>
      <c r="U199" s="9">
        <v>0</v>
      </c>
      <c r="V199" s="10">
        <f>SUM(Table67676972751421[[#This Row],[Bus ]:[Wheelchair]])</f>
        <v>10</v>
      </c>
    </row>
    <row r="200" spans="2:22" ht="20.399999999999999" x14ac:dyDescent="0.4">
      <c r="B200" s="8" t="s">
        <v>66</v>
      </c>
      <c r="C200" s="8" t="s">
        <v>92</v>
      </c>
      <c r="D200" s="9">
        <v>0</v>
      </c>
      <c r="E200" s="9">
        <v>0</v>
      </c>
      <c r="F200" s="9">
        <v>16</v>
      </c>
      <c r="G200" s="9">
        <v>0</v>
      </c>
      <c r="H200" s="9">
        <v>0</v>
      </c>
      <c r="I200" s="9">
        <v>0</v>
      </c>
      <c r="J200" s="9">
        <v>0</v>
      </c>
      <c r="K200" s="10">
        <f>SUM(Table676771741320[[#This Row],[Bus ]:[Wheelchair]])</f>
        <v>16</v>
      </c>
      <c r="M200" s="31" t="s">
        <v>20</v>
      </c>
      <c r="N200" s="31"/>
      <c r="O200" s="32">
        <f>SUBTOTAL(109,Table67676972751421[[Bus ]])</f>
        <v>0</v>
      </c>
      <c r="P200" s="32">
        <f>SUBTOTAL(109,Table67676972751421[Cab])</f>
        <v>307</v>
      </c>
      <c r="Q200" s="32">
        <f>SUBTOTAL(109,Table67676972751421[GMR])</f>
        <v>134</v>
      </c>
      <c r="R200" s="32">
        <f>SUBTOTAL(109,Table67676972751421[Public Entity])</f>
        <v>16</v>
      </c>
      <c r="S200" s="32">
        <f>SUBTOTAL(109,Table67676972751421[Stretcher])</f>
        <v>5</v>
      </c>
      <c r="T200" s="32">
        <f>SUBTOTAL(109,Table67676972751421[TNC Vendor])</f>
        <v>35</v>
      </c>
      <c r="U200" s="32">
        <f>SUBTOTAL(109,Table67676972751421[Wheelchair])</f>
        <v>9</v>
      </c>
      <c r="V200" s="32">
        <f>SUBTOTAL(109,Table67676972751421[Total])</f>
        <v>506</v>
      </c>
    </row>
    <row r="201" spans="2:22" ht="19.2" x14ac:dyDescent="0.4">
      <c r="B201" s="8" t="s">
        <v>156</v>
      </c>
      <c r="C201" s="8" t="s">
        <v>96</v>
      </c>
      <c r="D201" s="9">
        <v>0</v>
      </c>
      <c r="E201" s="9">
        <v>0</v>
      </c>
      <c r="F201" s="9">
        <v>1</v>
      </c>
      <c r="G201" s="9">
        <v>0</v>
      </c>
      <c r="H201" s="9">
        <v>0</v>
      </c>
      <c r="I201" s="9">
        <v>0</v>
      </c>
      <c r="J201" s="9">
        <v>0</v>
      </c>
      <c r="K201" s="10">
        <f>SUM(Table676771741320[[#This Row],[Bus ]:[Wheelchair]])</f>
        <v>1</v>
      </c>
      <c r="V201" s="12"/>
    </row>
    <row r="202" spans="2:22" ht="19.2" x14ac:dyDescent="0.4">
      <c r="B202" s="8" t="s">
        <v>157</v>
      </c>
      <c r="C202" s="8" t="s">
        <v>96</v>
      </c>
      <c r="D202" s="9">
        <v>0</v>
      </c>
      <c r="E202" s="9">
        <v>0</v>
      </c>
      <c r="F202" s="9">
        <v>1</v>
      </c>
      <c r="G202" s="9">
        <v>0</v>
      </c>
      <c r="H202" s="9">
        <v>0</v>
      </c>
      <c r="I202" s="9">
        <v>0</v>
      </c>
      <c r="J202" s="9">
        <v>0</v>
      </c>
      <c r="K202" s="10">
        <f>SUM(Table676771741320[[#This Row],[Bus ]:[Wheelchair]])</f>
        <v>1</v>
      </c>
      <c r="V202" s="12"/>
    </row>
    <row r="203" spans="2:22" ht="20.399999999999999" x14ac:dyDescent="0.4">
      <c r="B203" s="27" t="s">
        <v>20</v>
      </c>
      <c r="C203" s="27"/>
      <c r="D203" s="28">
        <f>SUBTOTAL(109,Table676771741320[[Bus ]])</f>
        <v>0</v>
      </c>
      <c r="E203" s="28">
        <f>SUBTOTAL(109,Table676771741320[Cab])</f>
        <v>216</v>
      </c>
      <c r="F203" s="28">
        <f>SUBTOTAL(109,Table676771741320[GMR])</f>
        <v>191</v>
      </c>
      <c r="G203" s="28">
        <f>SUBTOTAL(109,Table676771741320[Public Entity])</f>
        <v>13</v>
      </c>
      <c r="H203" s="28">
        <f>SUBTOTAL(109,Table676771741320[Stretcher])</f>
        <v>5</v>
      </c>
      <c r="I203" s="28">
        <f>SUBTOTAL(109,Table676771741320[TNC Vendor])</f>
        <v>151</v>
      </c>
      <c r="J203" s="28">
        <f>SUBTOTAL(109,Table676771741320[Wheelchair])</f>
        <v>8</v>
      </c>
      <c r="K203" s="28">
        <f>SUBTOTAL(109,Table676771741320[Total])</f>
        <v>584</v>
      </c>
      <c r="V203" s="12"/>
    </row>
    <row r="204" spans="2:22" x14ac:dyDescent="0.4">
      <c r="V204" s="12"/>
    </row>
    <row r="205" spans="2:22" x14ac:dyDescent="0.4">
      <c r="V205" s="12"/>
    </row>
    <row r="206" spans="2:22" ht="19.2" x14ac:dyDescent="0.45">
      <c r="B206" s="38">
        <v>45444</v>
      </c>
      <c r="C206" s="38"/>
      <c r="D206" s="38"/>
      <c r="E206" s="39" t="s">
        <v>22</v>
      </c>
      <c r="F206" s="39"/>
      <c r="G206" s="39"/>
      <c r="H206" s="39"/>
      <c r="I206" s="39"/>
      <c r="J206" s="39"/>
      <c r="K206" s="39"/>
      <c r="L206" s="1"/>
      <c r="M206" s="40">
        <v>45809</v>
      </c>
      <c r="N206" s="40"/>
      <c r="O206" s="40"/>
      <c r="P206" s="41" t="s">
        <v>22</v>
      </c>
      <c r="Q206" s="41"/>
      <c r="R206" s="41"/>
      <c r="S206" s="41"/>
      <c r="T206" s="41"/>
      <c r="U206" s="41"/>
      <c r="V206" s="41"/>
    </row>
    <row r="207" spans="2:22" ht="19.2" x14ac:dyDescent="0.45">
      <c r="B207" s="38"/>
      <c r="C207" s="38"/>
      <c r="D207" s="38"/>
      <c r="E207" s="39"/>
      <c r="F207" s="39"/>
      <c r="G207" s="39"/>
      <c r="H207" s="39"/>
      <c r="I207" s="39"/>
      <c r="J207" s="39"/>
      <c r="K207" s="39"/>
      <c r="L207" s="1"/>
      <c r="M207" s="40"/>
      <c r="N207" s="40"/>
      <c r="O207" s="40"/>
      <c r="P207" s="41"/>
      <c r="Q207" s="41"/>
      <c r="R207" s="41"/>
      <c r="S207" s="41"/>
      <c r="T207" s="41"/>
      <c r="U207" s="41"/>
      <c r="V207" s="41"/>
    </row>
    <row r="208" spans="2:22" ht="20.399999999999999" x14ac:dyDescent="0.45">
      <c r="B208" s="3" t="s">
        <v>23</v>
      </c>
      <c r="C208" s="3" t="s">
        <v>68</v>
      </c>
      <c r="D208" s="4" t="s">
        <v>25</v>
      </c>
      <c r="E208" s="4" t="s">
        <v>0</v>
      </c>
      <c r="F208" s="4" t="s">
        <v>26</v>
      </c>
      <c r="G208" s="4" t="s">
        <v>27</v>
      </c>
      <c r="H208" s="4" t="s">
        <v>1</v>
      </c>
      <c r="I208" s="4" t="s">
        <v>2</v>
      </c>
      <c r="J208" s="4" t="s">
        <v>3</v>
      </c>
      <c r="K208" s="4" t="s">
        <v>20</v>
      </c>
      <c r="L208" s="5"/>
      <c r="M208" s="6" t="s">
        <v>23</v>
      </c>
      <c r="N208" s="6" t="s">
        <v>68</v>
      </c>
      <c r="O208" s="7" t="s">
        <v>25</v>
      </c>
      <c r="P208" s="7" t="s">
        <v>0</v>
      </c>
      <c r="Q208" s="7" t="s">
        <v>26</v>
      </c>
      <c r="R208" s="7" t="s">
        <v>27</v>
      </c>
      <c r="S208" s="7" t="s">
        <v>1</v>
      </c>
      <c r="T208" s="7" t="s">
        <v>2</v>
      </c>
      <c r="U208" s="7" t="s">
        <v>3</v>
      </c>
      <c r="V208" s="7" t="s">
        <v>20</v>
      </c>
    </row>
    <row r="209" spans="2:22" ht="19.2" hidden="1" x14ac:dyDescent="0.4">
      <c r="B209" s="8" t="s">
        <v>64</v>
      </c>
      <c r="C209" s="8" t="s">
        <v>69</v>
      </c>
      <c r="D209" s="9">
        <v>0</v>
      </c>
      <c r="E209" s="9">
        <v>1</v>
      </c>
      <c r="F209" s="9">
        <v>8</v>
      </c>
      <c r="G209" s="9">
        <v>0</v>
      </c>
      <c r="H209" s="9">
        <v>0</v>
      </c>
      <c r="I209" s="9">
        <v>3</v>
      </c>
      <c r="J209" s="9">
        <v>0</v>
      </c>
      <c r="K209" s="10">
        <f>SUM(Table67677174132025[[#This Row],[Bus ]:[Wheelchair]])</f>
        <v>12</v>
      </c>
      <c r="M209" s="8" t="s">
        <v>64</v>
      </c>
      <c r="N209" s="8" t="s">
        <v>69</v>
      </c>
      <c r="O209" s="9">
        <v>4</v>
      </c>
      <c r="P209" s="9">
        <v>0</v>
      </c>
      <c r="Q209" s="9">
        <v>4</v>
      </c>
      <c r="R209" s="9">
        <v>0</v>
      </c>
      <c r="S209" s="9">
        <v>0</v>
      </c>
      <c r="T209" s="9">
        <v>0</v>
      </c>
      <c r="U209" s="9">
        <v>0</v>
      </c>
      <c r="V209" s="10">
        <f>SUM(Table6767697275142126[[#This Row],[Bus ]:[Wheelchair]])</f>
        <v>8</v>
      </c>
    </row>
    <row r="210" spans="2:22" ht="19.2" x14ac:dyDescent="0.4">
      <c r="B210" s="8" t="s">
        <v>43</v>
      </c>
      <c r="C210" s="8" t="s">
        <v>72</v>
      </c>
      <c r="D210" s="9">
        <v>0</v>
      </c>
      <c r="E210" s="9">
        <v>6</v>
      </c>
      <c r="F210" s="9">
        <v>4</v>
      </c>
      <c r="G210" s="9">
        <v>0</v>
      </c>
      <c r="H210" s="9">
        <v>0</v>
      </c>
      <c r="I210" s="9">
        <v>2</v>
      </c>
      <c r="J210" s="9">
        <v>0</v>
      </c>
      <c r="K210" s="10">
        <f>SUM(Table67677174132025[[#This Row],[Bus ]:[Wheelchair]])</f>
        <v>12</v>
      </c>
      <c r="M210" s="8" t="s">
        <v>43</v>
      </c>
      <c r="N210" s="8" t="s">
        <v>72</v>
      </c>
      <c r="O210" s="9">
        <v>0</v>
      </c>
      <c r="P210" s="9">
        <v>74</v>
      </c>
      <c r="Q210" s="9">
        <v>0</v>
      </c>
      <c r="R210" s="9">
        <v>0</v>
      </c>
      <c r="S210" s="9">
        <v>0</v>
      </c>
      <c r="T210" s="9">
        <v>1</v>
      </c>
      <c r="U210" s="9">
        <v>0</v>
      </c>
      <c r="V210" s="10">
        <f>SUM(Table6767697275142126[[#This Row],[Bus ]:[Wheelchair]])</f>
        <v>75</v>
      </c>
    </row>
    <row r="211" spans="2:22" ht="19.2" x14ac:dyDescent="0.4">
      <c r="B211" s="8" t="s">
        <v>44</v>
      </c>
      <c r="C211" s="8" t="s">
        <v>72</v>
      </c>
      <c r="D211" s="9">
        <v>0</v>
      </c>
      <c r="E211" s="9">
        <v>3</v>
      </c>
      <c r="F211" s="9">
        <v>9</v>
      </c>
      <c r="G211" s="9">
        <v>0</v>
      </c>
      <c r="H211" s="9">
        <v>0</v>
      </c>
      <c r="I211" s="9">
        <v>4</v>
      </c>
      <c r="J211" s="9">
        <v>0</v>
      </c>
      <c r="K211" s="10">
        <f>SUM(Table67677174132025[[#This Row],[Bus ]:[Wheelchair]])</f>
        <v>16</v>
      </c>
      <c r="M211" s="8" t="s">
        <v>44</v>
      </c>
      <c r="N211" s="8" t="s">
        <v>72</v>
      </c>
      <c r="O211" s="9">
        <v>0</v>
      </c>
      <c r="P211" s="9">
        <v>6</v>
      </c>
      <c r="Q211" s="9">
        <v>5</v>
      </c>
      <c r="R211" s="9">
        <v>0</v>
      </c>
      <c r="S211" s="9">
        <v>0</v>
      </c>
      <c r="T211" s="9">
        <v>1</v>
      </c>
      <c r="U211" s="9">
        <v>0</v>
      </c>
      <c r="V211" s="10">
        <f>SUM(Table6767697275142126[[#This Row],[Bus ]:[Wheelchair]])</f>
        <v>12</v>
      </c>
    </row>
    <row r="212" spans="2:22" ht="19.2" x14ac:dyDescent="0.4">
      <c r="B212" s="8" t="s">
        <v>38</v>
      </c>
      <c r="C212" s="8" t="s">
        <v>74</v>
      </c>
      <c r="D212" s="9">
        <v>0</v>
      </c>
      <c r="E212" s="9">
        <v>3</v>
      </c>
      <c r="F212" s="9">
        <v>0</v>
      </c>
      <c r="G212" s="9">
        <v>1</v>
      </c>
      <c r="H212" s="9">
        <v>0</v>
      </c>
      <c r="I212" s="9">
        <v>0</v>
      </c>
      <c r="J212" s="9">
        <v>0</v>
      </c>
      <c r="K212" s="10">
        <f>SUM(Table67677174132025[[#This Row],[Bus ]:[Wheelchair]])</f>
        <v>4</v>
      </c>
      <c r="M212" s="8" t="s">
        <v>33</v>
      </c>
      <c r="N212" s="8" t="s">
        <v>74</v>
      </c>
      <c r="O212" s="9">
        <v>0</v>
      </c>
      <c r="P212" s="9">
        <v>1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0">
        <f>SUM(Table6767697275142126[[#This Row],[Bus ]:[Wheelchair]])</f>
        <v>1</v>
      </c>
    </row>
    <row r="213" spans="2:22" ht="19.2" x14ac:dyDescent="0.4">
      <c r="B213" s="8" t="s">
        <v>105</v>
      </c>
      <c r="C213" s="8" t="s">
        <v>74</v>
      </c>
      <c r="D213" s="9">
        <v>0</v>
      </c>
      <c r="E213" s="9">
        <v>15</v>
      </c>
      <c r="F213" s="9">
        <v>1</v>
      </c>
      <c r="G213" s="9">
        <v>0</v>
      </c>
      <c r="H213" s="9">
        <v>0</v>
      </c>
      <c r="I213" s="9">
        <v>0</v>
      </c>
      <c r="J213" s="9">
        <v>0</v>
      </c>
      <c r="K213" s="10">
        <f>SUM(Table67677174132025[[#This Row],[Bus ]:[Wheelchair]])</f>
        <v>16</v>
      </c>
      <c r="M213" s="8" t="s">
        <v>38</v>
      </c>
      <c r="N213" s="8" t="s">
        <v>74</v>
      </c>
      <c r="O213" s="9">
        <v>0</v>
      </c>
      <c r="P213" s="9">
        <v>2</v>
      </c>
      <c r="Q213" s="9">
        <v>2</v>
      </c>
      <c r="R213" s="9">
        <v>0</v>
      </c>
      <c r="S213" s="9">
        <v>0</v>
      </c>
      <c r="T213" s="9">
        <v>0</v>
      </c>
      <c r="U213" s="9">
        <v>0</v>
      </c>
      <c r="V213" s="10">
        <f>SUM(Table6767697275142126[[#This Row],[Bus ]:[Wheelchair]])</f>
        <v>4</v>
      </c>
    </row>
    <row r="214" spans="2:22" ht="19.2" x14ac:dyDescent="0.4">
      <c r="B214" s="8" t="s">
        <v>42</v>
      </c>
      <c r="C214" s="8" t="s">
        <v>74</v>
      </c>
      <c r="D214" s="9">
        <v>0</v>
      </c>
      <c r="E214" s="9">
        <v>20</v>
      </c>
      <c r="F214" s="9">
        <v>17</v>
      </c>
      <c r="G214" s="9">
        <v>2</v>
      </c>
      <c r="H214" s="9">
        <v>0</v>
      </c>
      <c r="I214" s="9">
        <v>158</v>
      </c>
      <c r="J214" s="9">
        <v>1</v>
      </c>
      <c r="K214" s="10">
        <f>SUM(Table67677174132025[[#This Row],[Bus ]:[Wheelchair]])</f>
        <v>198</v>
      </c>
      <c r="M214" s="8" t="s">
        <v>42</v>
      </c>
      <c r="N214" s="8" t="s">
        <v>74</v>
      </c>
      <c r="O214" s="9">
        <v>0</v>
      </c>
      <c r="P214" s="9">
        <v>33</v>
      </c>
      <c r="Q214" s="9">
        <v>31</v>
      </c>
      <c r="R214" s="9">
        <v>1</v>
      </c>
      <c r="S214" s="9">
        <v>0</v>
      </c>
      <c r="T214" s="9">
        <v>3</v>
      </c>
      <c r="U214" s="9">
        <v>0</v>
      </c>
      <c r="V214" s="10">
        <f>SUM(Table6767697275142126[[#This Row],[Bus ]:[Wheelchair]])</f>
        <v>68</v>
      </c>
    </row>
    <row r="215" spans="2:22" ht="19.2" x14ac:dyDescent="0.4">
      <c r="B215" s="8" t="s">
        <v>75</v>
      </c>
      <c r="C215" s="8" t="s">
        <v>74</v>
      </c>
      <c r="D215" s="9">
        <v>0</v>
      </c>
      <c r="E215" s="9">
        <v>1</v>
      </c>
      <c r="F215" s="9">
        <v>0</v>
      </c>
      <c r="G215" s="9">
        <v>0</v>
      </c>
      <c r="H215" s="9">
        <v>0</v>
      </c>
      <c r="I215" s="9">
        <v>0</v>
      </c>
      <c r="J215" s="9">
        <v>0</v>
      </c>
      <c r="K215" s="10">
        <f>SUM(Table67677174132025[[#This Row],[Bus ]:[Wheelchair]])</f>
        <v>1</v>
      </c>
      <c r="M215" s="8" t="s">
        <v>52</v>
      </c>
      <c r="N215" s="8" t="s">
        <v>74</v>
      </c>
      <c r="O215" s="9">
        <v>0</v>
      </c>
      <c r="P215" s="9">
        <v>0</v>
      </c>
      <c r="Q215" s="9">
        <v>7</v>
      </c>
      <c r="R215" s="9">
        <v>0</v>
      </c>
      <c r="S215" s="9">
        <v>0</v>
      </c>
      <c r="T215" s="9">
        <v>0</v>
      </c>
      <c r="U215" s="9">
        <v>0</v>
      </c>
      <c r="V215" s="10">
        <f>SUM(Table6767697275142126[[#This Row],[Bus ]:[Wheelchair]])</f>
        <v>7</v>
      </c>
    </row>
    <row r="216" spans="2:22" ht="19.2" x14ac:dyDescent="0.4">
      <c r="B216" s="8" t="s">
        <v>52</v>
      </c>
      <c r="C216" s="8" t="s">
        <v>74</v>
      </c>
      <c r="D216" s="9">
        <v>0</v>
      </c>
      <c r="E216" s="9">
        <v>2</v>
      </c>
      <c r="F216" s="9">
        <v>4</v>
      </c>
      <c r="G216" s="9">
        <v>0</v>
      </c>
      <c r="H216" s="9">
        <v>0</v>
      </c>
      <c r="I216" s="9">
        <v>0</v>
      </c>
      <c r="J216" s="9">
        <v>0</v>
      </c>
      <c r="K216" s="10">
        <f>SUM(Table67677174132025[[#This Row],[Bus ]:[Wheelchair]])</f>
        <v>6</v>
      </c>
      <c r="M216" s="8" t="s">
        <v>56</v>
      </c>
      <c r="N216" s="8" t="s">
        <v>74</v>
      </c>
      <c r="O216" s="9">
        <v>0</v>
      </c>
      <c r="P216" s="9">
        <v>1</v>
      </c>
      <c r="Q216" s="9">
        <v>2</v>
      </c>
      <c r="R216" s="9">
        <v>0</v>
      </c>
      <c r="S216" s="9">
        <v>0</v>
      </c>
      <c r="T216" s="9">
        <v>0</v>
      </c>
      <c r="U216" s="9">
        <v>0</v>
      </c>
      <c r="V216" s="10">
        <f>SUM(Table6767697275142126[[#This Row],[Bus ]:[Wheelchair]])</f>
        <v>3</v>
      </c>
    </row>
    <row r="217" spans="2:22" ht="19.2" x14ac:dyDescent="0.4">
      <c r="B217" s="8" t="s">
        <v>56</v>
      </c>
      <c r="C217" s="8" t="s">
        <v>74</v>
      </c>
      <c r="D217" s="9">
        <v>0</v>
      </c>
      <c r="E217" s="9">
        <v>0</v>
      </c>
      <c r="F217" s="9">
        <v>3</v>
      </c>
      <c r="G217" s="9">
        <v>0</v>
      </c>
      <c r="H217" s="9">
        <v>0</v>
      </c>
      <c r="I217" s="9">
        <v>0</v>
      </c>
      <c r="J217" s="9">
        <v>0</v>
      </c>
      <c r="K217" s="10">
        <f>SUM(Table67677174132025[[#This Row],[Bus ]:[Wheelchair]])</f>
        <v>3</v>
      </c>
      <c r="M217" s="8" t="s">
        <v>59</v>
      </c>
      <c r="N217" s="8" t="s">
        <v>74</v>
      </c>
      <c r="O217" s="9">
        <v>0</v>
      </c>
      <c r="P217" s="9">
        <v>3</v>
      </c>
      <c r="Q217" s="9">
        <v>2</v>
      </c>
      <c r="R217" s="9">
        <v>0</v>
      </c>
      <c r="S217" s="9">
        <v>0</v>
      </c>
      <c r="T217" s="9">
        <v>0</v>
      </c>
      <c r="U217" s="9">
        <v>0</v>
      </c>
      <c r="V217" s="10">
        <f>SUM(Table6767697275142126[[#This Row],[Bus ]:[Wheelchair]])</f>
        <v>5</v>
      </c>
    </row>
    <row r="218" spans="2:22" ht="19.2" x14ac:dyDescent="0.4">
      <c r="B218" s="8" t="s">
        <v>60</v>
      </c>
      <c r="C218" s="8" t="s">
        <v>74</v>
      </c>
      <c r="D218" s="9">
        <v>0</v>
      </c>
      <c r="E218" s="9">
        <v>1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10">
        <f>SUM(Table67677174132025[[#This Row],[Bus ]:[Wheelchair]])</f>
        <v>1</v>
      </c>
      <c r="M218" s="8" t="s">
        <v>60</v>
      </c>
      <c r="N218" s="8" t="s">
        <v>74</v>
      </c>
      <c r="O218" s="9">
        <v>0</v>
      </c>
      <c r="P218" s="9">
        <v>13</v>
      </c>
      <c r="Q218" s="9">
        <v>6</v>
      </c>
      <c r="R218" s="9">
        <v>0</v>
      </c>
      <c r="S218" s="9">
        <v>0</v>
      </c>
      <c r="T218" s="9">
        <v>0</v>
      </c>
      <c r="U218" s="9">
        <v>0</v>
      </c>
      <c r="V218" s="10">
        <f>SUM(Table6767697275142126[[#This Row],[Bus ]:[Wheelchair]])</f>
        <v>19</v>
      </c>
    </row>
    <row r="219" spans="2:22" ht="19.2" x14ac:dyDescent="0.4">
      <c r="B219" s="8" t="s">
        <v>39</v>
      </c>
      <c r="C219" s="8" t="s">
        <v>79</v>
      </c>
      <c r="D219" s="9">
        <v>0</v>
      </c>
      <c r="E219" s="9">
        <v>2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10">
        <f>SUM(Table67677174132025[[#This Row],[Bus ]:[Wheelchair]])</f>
        <v>2</v>
      </c>
      <c r="M219" s="8" t="s">
        <v>113</v>
      </c>
      <c r="N219" s="8" t="s">
        <v>78</v>
      </c>
      <c r="O219" s="9">
        <v>0</v>
      </c>
      <c r="P219" s="9">
        <v>4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0">
        <f>SUM(Table6767697275142126[[#This Row],[Bus ]:[Wheelchair]])</f>
        <v>4</v>
      </c>
    </row>
    <row r="220" spans="2:22" ht="19.2" x14ac:dyDescent="0.4">
      <c r="B220" s="8" t="s">
        <v>40</v>
      </c>
      <c r="C220" s="8" t="s">
        <v>79</v>
      </c>
      <c r="D220" s="9">
        <v>0</v>
      </c>
      <c r="E220" s="9">
        <v>0</v>
      </c>
      <c r="F220" s="9">
        <v>2</v>
      </c>
      <c r="G220" s="9">
        <v>0</v>
      </c>
      <c r="H220" s="9">
        <v>0</v>
      </c>
      <c r="I220" s="9">
        <v>0</v>
      </c>
      <c r="J220" s="9">
        <v>0</v>
      </c>
      <c r="K220" s="10">
        <f>SUM(Table67677174132025[[#This Row],[Bus ]:[Wheelchair]])</f>
        <v>2</v>
      </c>
      <c r="M220" s="8" t="s">
        <v>63</v>
      </c>
      <c r="N220" s="8" t="s">
        <v>79</v>
      </c>
      <c r="O220" s="9">
        <v>0</v>
      </c>
      <c r="P220" s="9">
        <v>5</v>
      </c>
      <c r="Q220" s="9">
        <v>2</v>
      </c>
      <c r="R220" s="9">
        <v>0</v>
      </c>
      <c r="S220" s="9">
        <v>0</v>
      </c>
      <c r="T220" s="9">
        <v>0</v>
      </c>
      <c r="U220" s="9">
        <v>0</v>
      </c>
      <c r="V220" s="10">
        <f>SUM(Table6767697275142126[[#This Row],[Bus ]:[Wheelchair]])</f>
        <v>7</v>
      </c>
    </row>
    <row r="221" spans="2:22" ht="19.2" x14ac:dyDescent="0.4">
      <c r="B221" s="8" t="s">
        <v>63</v>
      </c>
      <c r="C221" s="8" t="s">
        <v>79</v>
      </c>
      <c r="D221" s="9">
        <v>0</v>
      </c>
      <c r="E221" s="9">
        <v>4</v>
      </c>
      <c r="F221" s="9">
        <v>3</v>
      </c>
      <c r="G221" s="9">
        <v>0</v>
      </c>
      <c r="H221" s="9">
        <v>0</v>
      </c>
      <c r="I221" s="9">
        <v>0</v>
      </c>
      <c r="J221" s="9">
        <v>0</v>
      </c>
      <c r="K221" s="10">
        <f>SUM(Table67677174132025[[#This Row],[Bus ]:[Wheelchair]])</f>
        <v>7</v>
      </c>
      <c r="M221" s="8" t="s">
        <v>160</v>
      </c>
      <c r="N221" s="8" t="s">
        <v>158</v>
      </c>
      <c r="O221" s="9">
        <v>0</v>
      </c>
      <c r="P221" s="9">
        <v>1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0">
        <f>SUM(Table6767697275142126[[#This Row],[Bus ]:[Wheelchair]])</f>
        <v>1</v>
      </c>
    </row>
    <row r="222" spans="2:22" ht="19.2" x14ac:dyDescent="0.4">
      <c r="B222" s="8" t="s">
        <v>32</v>
      </c>
      <c r="C222" s="8" t="s">
        <v>87</v>
      </c>
      <c r="D222" s="9">
        <v>0</v>
      </c>
      <c r="E222" s="9">
        <v>0</v>
      </c>
      <c r="F222" s="9">
        <v>13</v>
      </c>
      <c r="G222" s="9">
        <v>0</v>
      </c>
      <c r="H222" s="9">
        <v>0</v>
      </c>
      <c r="I222" s="9">
        <v>0</v>
      </c>
      <c r="J222" s="9">
        <v>0</v>
      </c>
      <c r="K222" s="10">
        <f>SUM(Table67677174132025[[#This Row],[Bus ]:[Wheelchair]])</f>
        <v>13</v>
      </c>
      <c r="M222" s="8" t="s">
        <v>97</v>
      </c>
      <c r="N222" s="8" t="s">
        <v>81</v>
      </c>
      <c r="O222" s="9">
        <v>0</v>
      </c>
      <c r="P222" s="9">
        <v>1</v>
      </c>
      <c r="Q222" s="9">
        <v>1</v>
      </c>
      <c r="R222" s="9">
        <v>0</v>
      </c>
      <c r="S222" s="9">
        <v>0</v>
      </c>
      <c r="T222" s="9">
        <v>1</v>
      </c>
      <c r="U222" s="9">
        <v>0</v>
      </c>
      <c r="V222" s="10">
        <f>SUM(Table6767697275142126[[#This Row],[Bus ]:[Wheelchair]])</f>
        <v>3</v>
      </c>
    </row>
    <row r="223" spans="2:22" ht="19.2" x14ac:dyDescent="0.4">
      <c r="B223" s="8" t="s">
        <v>145</v>
      </c>
      <c r="C223" s="8" t="s">
        <v>128</v>
      </c>
      <c r="D223" s="9">
        <v>0</v>
      </c>
      <c r="E223" s="9">
        <v>0</v>
      </c>
      <c r="F223" s="9">
        <v>2</v>
      </c>
      <c r="G223" s="9">
        <v>0</v>
      </c>
      <c r="H223" s="9">
        <v>0</v>
      </c>
      <c r="I223" s="9">
        <v>0</v>
      </c>
      <c r="J223" s="9">
        <v>0</v>
      </c>
      <c r="K223" s="10">
        <f>SUM(Table67677174132025[[#This Row],[Bus ]:[Wheelchair]])</f>
        <v>2</v>
      </c>
      <c r="M223" s="8" t="s">
        <v>161</v>
      </c>
      <c r="N223" s="8" t="s">
        <v>159</v>
      </c>
      <c r="O223" s="9">
        <v>0</v>
      </c>
      <c r="P223" s="9">
        <v>3</v>
      </c>
      <c r="Q223" s="9">
        <v>0</v>
      </c>
      <c r="R223" s="9">
        <v>0</v>
      </c>
      <c r="S223" s="9">
        <v>0</v>
      </c>
      <c r="T223" s="9">
        <v>2</v>
      </c>
      <c r="U223" s="9">
        <v>0</v>
      </c>
      <c r="V223" s="10">
        <f>SUM(Table6767697275142126[[#This Row],[Bus ]:[Wheelchair]])</f>
        <v>5</v>
      </c>
    </row>
    <row r="224" spans="2:22" ht="19.2" x14ac:dyDescent="0.4">
      <c r="B224" s="8" t="s">
        <v>62</v>
      </c>
      <c r="C224" s="8" t="s">
        <v>128</v>
      </c>
      <c r="D224" s="9">
        <v>0</v>
      </c>
      <c r="E224" s="9">
        <v>1</v>
      </c>
      <c r="F224" s="9">
        <v>1</v>
      </c>
      <c r="G224" s="9">
        <v>0</v>
      </c>
      <c r="H224" s="9">
        <v>0</v>
      </c>
      <c r="I224" s="9">
        <v>0</v>
      </c>
      <c r="J224" s="9">
        <v>0</v>
      </c>
      <c r="K224" s="10">
        <f>SUM(Table67677174132025[[#This Row],[Bus ]:[Wheelchair]])</f>
        <v>2</v>
      </c>
      <c r="M224" s="8" t="s">
        <v>32</v>
      </c>
      <c r="N224" s="8" t="s">
        <v>87</v>
      </c>
      <c r="O224" s="9">
        <v>0</v>
      </c>
      <c r="P224" s="9">
        <v>2</v>
      </c>
      <c r="Q224" s="9">
        <v>12</v>
      </c>
      <c r="R224" s="9">
        <v>0</v>
      </c>
      <c r="S224" s="9">
        <v>0</v>
      </c>
      <c r="T224" s="9">
        <v>0</v>
      </c>
      <c r="U224" s="9">
        <v>0</v>
      </c>
      <c r="V224" s="10">
        <f>SUM(Table6767697275142126[[#This Row],[Bus ]:[Wheelchair]])</f>
        <v>14</v>
      </c>
    </row>
    <row r="225" spans="2:22" ht="19.2" x14ac:dyDescent="0.4">
      <c r="B225" s="8" t="s">
        <v>155</v>
      </c>
      <c r="C225" s="8" t="s">
        <v>92</v>
      </c>
      <c r="D225" s="9">
        <v>0</v>
      </c>
      <c r="E225" s="9">
        <v>1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10">
        <f>SUM(Table67677174132025[[#This Row],[Bus ]:[Wheelchair]])</f>
        <v>1</v>
      </c>
      <c r="M225" s="8" t="s">
        <v>132</v>
      </c>
      <c r="N225" s="8" t="s">
        <v>115</v>
      </c>
      <c r="O225" s="9">
        <v>0</v>
      </c>
      <c r="P225" s="9">
        <v>10</v>
      </c>
      <c r="Q225" s="9">
        <v>7</v>
      </c>
      <c r="R225" s="9">
        <v>0</v>
      </c>
      <c r="S225" s="9">
        <v>0</v>
      </c>
      <c r="T225" s="9">
        <v>4</v>
      </c>
      <c r="U225" s="9">
        <v>0</v>
      </c>
      <c r="V225" s="10">
        <f>SUM(Table6767697275142126[[#This Row],[Bus ]:[Wheelchair]])</f>
        <v>21</v>
      </c>
    </row>
    <row r="226" spans="2:22" ht="19.2" x14ac:dyDescent="0.4">
      <c r="B226" s="8" t="s">
        <v>55</v>
      </c>
      <c r="C226" s="8" t="s">
        <v>92</v>
      </c>
      <c r="D226" s="9">
        <v>0</v>
      </c>
      <c r="E226" s="9">
        <v>44</v>
      </c>
      <c r="F226" s="9">
        <v>74</v>
      </c>
      <c r="G226" s="9">
        <v>1</v>
      </c>
      <c r="H226" s="9">
        <v>0</v>
      </c>
      <c r="I226" s="9">
        <v>75</v>
      </c>
      <c r="J226" s="9">
        <v>5</v>
      </c>
      <c r="K226" s="10">
        <f>SUM(Table67677174132025[[#This Row],[Bus ]:[Wheelchair]])</f>
        <v>199</v>
      </c>
      <c r="M226" s="8" t="s">
        <v>162</v>
      </c>
      <c r="N226" s="8" t="s">
        <v>128</v>
      </c>
      <c r="O226" s="9">
        <v>0</v>
      </c>
      <c r="P226" s="9">
        <v>0</v>
      </c>
      <c r="Q226" s="9">
        <v>1</v>
      </c>
      <c r="R226" s="9">
        <v>0</v>
      </c>
      <c r="S226" s="9">
        <v>0</v>
      </c>
      <c r="T226" s="9">
        <v>0</v>
      </c>
      <c r="U226" s="9">
        <v>1</v>
      </c>
      <c r="V226" s="10">
        <f>SUM(Table6767697275142126[[#This Row],[Bus ]:[Wheelchair]])</f>
        <v>2</v>
      </c>
    </row>
    <row r="227" spans="2:22" ht="19.2" x14ac:dyDescent="0.4">
      <c r="B227" s="8" t="s">
        <v>61</v>
      </c>
      <c r="C227" s="8" t="s">
        <v>92</v>
      </c>
      <c r="D227" s="9">
        <v>0</v>
      </c>
      <c r="E227" s="9">
        <v>2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10">
        <f>SUM(Table67677174132025[[#This Row],[Bus ]:[Wheelchair]])</f>
        <v>2</v>
      </c>
      <c r="M227" s="8" t="s">
        <v>36</v>
      </c>
      <c r="N227" s="8" t="s">
        <v>92</v>
      </c>
      <c r="O227" s="9">
        <v>0</v>
      </c>
      <c r="P227" s="9">
        <v>1</v>
      </c>
      <c r="Q227" s="9">
        <v>1</v>
      </c>
      <c r="R227" s="9">
        <v>0</v>
      </c>
      <c r="S227" s="9">
        <v>0</v>
      </c>
      <c r="T227" s="9">
        <v>0</v>
      </c>
      <c r="U227" s="9">
        <v>0</v>
      </c>
      <c r="V227" s="10">
        <f>SUM(Table6767697275142126[[#This Row],[Bus ]:[Wheelchair]])</f>
        <v>2</v>
      </c>
    </row>
    <row r="228" spans="2:22" ht="19.2" x14ac:dyDescent="0.4">
      <c r="B228" s="8" t="s">
        <v>65</v>
      </c>
      <c r="C228" s="8" t="s">
        <v>92</v>
      </c>
      <c r="D228" s="9">
        <v>0</v>
      </c>
      <c r="E228" s="9">
        <v>0</v>
      </c>
      <c r="F228" s="9">
        <v>4</v>
      </c>
      <c r="G228" s="9">
        <v>0</v>
      </c>
      <c r="H228" s="9">
        <v>0</v>
      </c>
      <c r="I228" s="9">
        <v>4</v>
      </c>
      <c r="J228" s="9">
        <v>0</v>
      </c>
      <c r="K228" s="10">
        <f>SUM(Table67677174132025[[#This Row],[Bus ]:[Wheelchair]])</f>
        <v>8</v>
      </c>
      <c r="M228" s="8" t="s">
        <v>55</v>
      </c>
      <c r="N228" s="8" t="s">
        <v>92</v>
      </c>
      <c r="O228" s="9">
        <v>0</v>
      </c>
      <c r="P228" s="9">
        <v>114</v>
      </c>
      <c r="Q228" s="9">
        <v>44</v>
      </c>
      <c r="R228" s="9">
        <v>0</v>
      </c>
      <c r="S228" s="9">
        <v>2</v>
      </c>
      <c r="T228" s="9">
        <v>11</v>
      </c>
      <c r="U228" s="9">
        <v>2</v>
      </c>
      <c r="V228" s="10">
        <f>SUM(Table6767697275142126[[#This Row],[Bus ]:[Wheelchair]])</f>
        <v>173</v>
      </c>
    </row>
    <row r="229" spans="2:22" ht="19.2" x14ac:dyDescent="0.4">
      <c r="B229" s="8" t="s">
        <v>66</v>
      </c>
      <c r="C229" s="8" t="s">
        <v>92</v>
      </c>
      <c r="D229" s="9">
        <v>0</v>
      </c>
      <c r="E229" s="9">
        <v>2</v>
      </c>
      <c r="F229" s="9">
        <v>14</v>
      </c>
      <c r="G229" s="9">
        <v>0</v>
      </c>
      <c r="H229" s="9">
        <v>0</v>
      </c>
      <c r="I229" s="9">
        <v>0</v>
      </c>
      <c r="J229" s="9">
        <v>0</v>
      </c>
      <c r="K229" s="10">
        <f>SUM(Table67677174132025[[#This Row],[Bus ]:[Wheelchair]])</f>
        <v>16</v>
      </c>
      <c r="M229" s="8" t="s">
        <v>65</v>
      </c>
      <c r="N229" s="8" t="s">
        <v>92</v>
      </c>
      <c r="O229" s="9">
        <v>0</v>
      </c>
      <c r="P229" s="9">
        <v>0</v>
      </c>
      <c r="Q229" s="9">
        <v>6</v>
      </c>
      <c r="R229" s="9">
        <v>2</v>
      </c>
      <c r="S229" s="9">
        <v>1</v>
      </c>
      <c r="T229" s="9">
        <v>0</v>
      </c>
      <c r="U229" s="9">
        <v>0</v>
      </c>
      <c r="V229" s="10">
        <f>SUM(Table6767697275142126[[#This Row],[Bus ]:[Wheelchair]])</f>
        <v>9</v>
      </c>
    </row>
    <row r="230" spans="2:22" ht="19.2" x14ac:dyDescent="0.4">
      <c r="B230" s="8" t="s">
        <v>163</v>
      </c>
      <c r="C230" s="8" t="s">
        <v>96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2</v>
      </c>
      <c r="J230" s="9">
        <v>0</v>
      </c>
      <c r="K230" s="10">
        <f>SUM(Table67677174132025[[#This Row],[Bus ]:[Wheelchair]])</f>
        <v>2</v>
      </c>
      <c r="M230" s="8" t="s">
        <v>66</v>
      </c>
      <c r="N230" s="8" t="s">
        <v>92</v>
      </c>
      <c r="O230" s="9">
        <v>0</v>
      </c>
      <c r="P230" s="9">
        <v>2</v>
      </c>
      <c r="Q230" s="9">
        <v>14</v>
      </c>
      <c r="R230" s="9">
        <v>0</v>
      </c>
      <c r="S230" s="9">
        <v>0</v>
      </c>
      <c r="T230" s="9">
        <v>0</v>
      </c>
      <c r="U230" s="9">
        <v>0</v>
      </c>
      <c r="V230" s="10">
        <f>SUM(Table6767697275142126[[#This Row],[Bus ]:[Wheelchair]])</f>
        <v>16</v>
      </c>
    </row>
    <row r="231" spans="2:22" ht="20.399999999999999" x14ac:dyDescent="0.4">
      <c r="B231" s="27" t="s">
        <v>20</v>
      </c>
      <c r="C231" s="27"/>
      <c r="D231" s="28">
        <f>SUBTOTAL(109,Table67677174132025[[Bus ]])</f>
        <v>0</v>
      </c>
      <c r="E231" s="28">
        <f>SUBTOTAL(109,Table67677174132025[Cab])</f>
        <v>107</v>
      </c>
      <c r="F231" s="28">
        <f>SUBTOTAL(109,Table67677174132025[GMR])</f>
        <v>151</v>
      </c>
      <c r="G231" s="28">
        <f>SUBTOTAL(109,Table67677174132025[Public Entity])</f>
        <v>4</v>
      </c>
      <c r="H231" s="28">
        <f>SUBTOTAL(109,Table67677174132025[Stretcher])</f>
        <v>0</v>
      </c>
      <c r="I231" s="28">
        <f>SUBTOTAL(109,Table67677174132025[TNC Vendor])</f>
        <v>245</v>
      </c>
      <c r="J231" s="28">
        <f>SUBTOTAL(109,Table67677174132025[Wheelchair])</f>
        <v>6</v>
      </c>
      <c r="K231" s="28">
        <f>SUBTOTAL(109,Table67677174132025[Total])</f>
        <v>513</v>
      </c>
      <c r="M231" s="31" t="s">
        <v>20</v>
      </c>
      <c r="N231" s="31"/>
      <c r="O231" s="32">
        <f>SUBTOTAL(109,Table6767697275142126[[Bus ]])</f>
        <v>0</v>
      </c>
      <c r="P231" s="32">
        <f>SUBTOTAL(109,Table6767697275142126[Cab])</f>
        <v>276</v>
      </c>
      <c r="Q231" s="32">
        <f>SUBTOTAL(109,Table6767697275142126[GMR])</f>
        <v>143</v>
      </c>
      <c r="R231" s="32">
        <f>SUBTOTAL(109,Table6767697275142126[Public Entity])</f>
        <v>3</v>
      </c>
      <c r="S231" s="32">
        <f>SUBTOTAL(109,Table6767697275142126[Stretcher])</f>
        <v>3</v>
      </c>
      <c r="T231" s="32">
        <f>SUBTOTAL(109,Table6767697275142126[TNC Vendor])</f>
        <v>23</v>
      </c>
      <c r="U231" s="32">
        <f>SUBTOTAL(109,Table6767697275142126[Wheelchair])</f>
        <v>3</v>
      </c>
      <c r="V231" s="32">
        <f>SUBTOTAL(109,Table6767697275142126[Total])</f>
        <v>451</v>
      </c>
    </row>
    <row r="232" spans="2:22" x14ac:dyDescent="0.4">
      <c r="V232" s="12"/>
    </row>
    <row r="233" spans="2:22" x14ac:dyDescent="0.4">
      <c r="V233" s="12"/>
    </row>
    <row r="234" spans="2:22" ht="19.2" x14ac:dyDescent="0.45">
      <c r="B234" s="38">
        <v>45474</v>
      </c>
      <c r="C234" s="38"/>
      <c r="D234" s="38"/>
      <c r="E234" s="39" t="s">
        <v>22</v>
      </c>
      <c r="F234" s="39"/>
      <c r="G234" s="39"/>
      <c r="H234" s="39"/>
      <c r="I234" s="39"/>
      <c r="J234" s="39"/>
      <c r="K234" s="39"/>
      <c r="L234" s="1"/>
      <c r="M234" s="40">
        <v>45839</v>
      </c>
      <c r="N234" s="40"/>
      <c r="O234" s="40"/>
      <c r="P234" s="41" t="s">
        <v>22</v>
      </c>
      <c r="Q234" s="41"/>
      <c r="R234" s="41"/>
      <c r="S234" s="41"/>
      <c r="T234" s="41"/>
      <c r="U234" s="41"/>
      <c r="V234" s="41"/>
    </row>
    <row r="235" spans="2:22" ht="19.2" x14ac:dyDescent="0.45">
      <c r="B235" s="38"/>
      <c r="C235" s="38"/>
      <c r="D235" s="38"/>
      <c r="E235" s="39"/>
      <c r="F235" s="39"/>
      <c r="G235" s="39"/>
      <c r="H235" s="39"/>
      <c r="I235" s="39"/>
      <c r="J235" s="39"/>
      <c r="K235" s="39"/>
      <c r="L235" s="1"/>
      <c r="M235" s="40"/>
      <c r="N235" s="40"/>
      <c r="O235" s="40"/>
      <c r="P235" s="41"/>
      <c r="Q235" s="41"/>
      <c r="R235" s="41"/>
      <c r="S235" s="41"/>
      <c r="T235" s="41"/>
      <c r="U235" s="41"/>
      <c r="V235" s="41"/>
    </row>
    <row r="236" spans="2:22" ht="20.399999999999999" x14ac:dyDescent="0.45">
      <c r="B236" s="3" t="s">
        <v>23</v>
      </c>
      <c r="C236" s="3" t="s">
        <v>68</v>
      </c>
      <c r="D236" s="4" t="s">
        <v>25</v>
      </c>
      <c r="E236" s="4" t="s">
        <v>0</v>
      </c>
      <c r="F236" s="4" t="s">
        <v>26</v>
      </c>
      <c r="G236" s="4" t="s">
        <v>27</v>
      </c>
      <c r="H236" s="4" t="s">
        <v>1</v>
      </c>
      <c r="I236" s="4" t="s">
        <v>2</v>
      </c>
      <c r="J236" s="4" t="s">
        <v>3</v>
      </c>
      <c r="K236" s="4" t="s">
        <v>20</v>
      </c>
      <c r="L236" s="5"/>
      <c r="M236" s="6" t="s">
        <v>23</v>
      </c>
      <c r="N236" s="6" t="s">
        <v>68</v>
      </c>
      <c r="O236" s="7" t="s">
        <v>25</v>
      </c>
      <c r="P236" s="7" t="s">
        <v>0</v>
      </c>
      <c r="Q236" s="7" t="s">
        <v>26</v>
      </c>
      <c r="R236" s="7" t="s">
        <v>27</v>
      </c>
      <c r="S236" s="7" t="s">
        <v>1</v>
      </c>
      <c r="T236" s="7" t="s">
        <v>2</v>
      </c>
      <c r="U236" s="7" t="s">
        <v>3</v>
      </c>
      <c r="V236" s="7" t="s">
        <v>20</v>
      </c>
    </row>
    <row r="237" spans="2:22" ht="19.2" hidden="1" x14ac:dyDescent="0.4">
      <c r="B237" s="8" t="s">
        <v>64</v>
      </c>
      <c r="C237" s="8" t="s">
        <v>69</v>
      </c>
      <c r="D237" s="9">
        <v>0</v>
      </c>
      <c r="E237" s="9">
        <v>0</v>
      </c>
      <c r="F237" s="9">
        <v>1</v>
      </c>
      <c r="G237" s="9">
        <v>0</v>
      </c>
      <c r="H237" s="9">
        <v>0</v>
      </c>
      <c r="I237" s="9">
        <v>0</v>
      </c>
      <c r="J237" s="9">
        <v>0</v>
      </c>
      <c r="K237" s="10">
        <f>SUM(Table6767717413202527[[#This Row],[Bus ]:[Wheelchair]])</f>
        <v>1</v>
      </c>
      <c r="M237" s="8" t="s">
        <v>64</v>
      </c>
      <c r="N237" s="8" t="s">
        <v>69</v>
      </c>
      <c r="O237" s="9">
        <v>24</v>
      </c>
      <c r="P237" s="9">
        <v>0</v>
      </c>
      <c r="Q237" s="9">
        <v>4</v>
      </c>
      <c r="R237" s="9">
        <v>33</v>
      </c>
      <c r="S237" s="9">
        <v>0</v>
      </c>
      <c r="T237" s="9">
        <v>0</v>
      </c>
      <c r="U237" s="9">
        <v>0</v>
      </c>
      <c r="V237" s="10">
        <f>SUM(Table676769727514212631[[#This Row],[Bus ]:[Wheelchair]])</f>
        <v>61</v>
      </c>
    </row>
    <row r="238" spans="2:22" ht="19.2" x14ac:dyDescent="0.4">
      <c r="B238" s="8" t="s">
        <v>43</v>
      </c>
      <c r="C238" s="8" t="s">
        <v>72</v>
      </c>
      <c r="D238" s="9">
        <v>0</v>
      </c>
      <c r="E238" s="9">
        <v>6</v>
      </c>
      <c r="F238" s="9">
        <v>1</v>
      </c>
      <c r="G238" s="9">
        <v>0</v>
      </c>
      <c r="H238" s="9">
        <v>0</v>
      </c>
      <c r="I238" s="9">
        <v>1</v>
      </c>
      <c r="J238" s="9">
        <v>0</v>
      </c>
      <c r="K238" s="10">
        <f>SUM(Table6767717413202527[[#This Row],[Bus ]:[Wheelchair]])</f>
        <v>8</v>
      </c>
      <c r="M238" s="8" t="s">
        <v>43</v>
      </c>
      <c r="N238" s="8" t="s">
        <v>72</v>
      </c>
      <c r="O238" s="9">
        <v>0</v>
      </c>
      <c r="P238" s="9">
        <v>50</v>
      </c>
      <c r="Q238" s="9">
        <v>1</v>
      </c>
      <c r="R238" s="9">
        <v>0</v>
      </c>
      <c r="S238" s="9">
        <v>0</v>
      </c>
      <c r="T238" s="9">
        <v>0</v>
      </c>
      <c r="U238" s="9">
        <v>0</v>
      </c>
      <c r="V238" s="10">
        <f>SUM(Table676769727514212631[[#This Row],[Bus ]:[Wheelchair]])</f>
        <v>51</v>
      </c>
    </row>
    <row r="239" spans="2:22" ht="19.2" x14ac:dyDescent="0.4">
      <c r="B239" s="8" t="s">
        <v>44</v>
      </c>
      <c r="C239" s="8" t="s">
        <v>72</v>
      </c>
      <c r="D239" s="9">
        <v>0</v>
      </c>
      <c r="E239" s="9">
        <v>9</v>
      </c>
      <c r="F239" s="9">
        <v>17</v>
      </c>
      <c r="G239" s="9">
        <v>0</v>
      </c>
      <c r="H239" s="9">
        <v>0</v>
      </c>
      <c r="I239" s="9">
        <v>4</v>
      </c>
      <c r="J239" s="9">
        <v>0</v>
      </c>
      <c r="K239" s="10">
        <f>SUM(Table6767717413202527[[#This Row],[Bus ]:[Wheelchair]])</f>
        <v>30</v>
      </c>
      <c r="M239" s="8" t="s">
        <v>44</v>
      </c>
      <c r="N239" s="8" t="s">
        <v>72</v>
      </c>
      <c r="O239" s="9">
        <v>0</v>
      </c>
      <c r="P239" s="9">
        <v>5</v>
      </c>
      <c r="Q239" s="9">
        <v>2</v>
      </c>
      <c r="R239" s="9">
        <v>0</v>
      </c>
      <c r="S239" s="9">
        <v>0</v>
      </c>
      <c r="T239" s="9">
        <v>0</v>
      </c>
      <c r="U239" s="9">
        <v>0</v>
      </c>
      <c r="V239" s="10">
        <f>SUM(Table676769727514212631[[#This Row],[Bus ]:[Wheelchair]])</f>
        <v>7</v>
      </c>
    </row>
    <row r="240" spans="2:22" ht="19.2" x14ac:dyDescent="0.4">
      <c r="B240" s="8" t="s">
        <v>125</v>
      </c>
      <c r="C240" s="8" t="s">
        <v>72</v>
      </c>
      <c r="D240" s="9">
        <v>0</v>
      </c>
      <c r="E240" s="9">
        <v>2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10">
        <f>SUM(Table6767717413202527[[#This Row],[Bus ]:[Wheelchair]])</f>
        <v>2</v>
      </c>
      <c r="M240" s="8" t="s">
        <v>33</v>
      </c>
      <c r="N240" s="8" t="s">
        <v>74</v>
      </c>
      <c r="O240" s="9">
        <v>0</v>
      </c>
      <c r="P240" s="9">
        <v>0</v>
      </c>
      <c r="Q240" s="9">
        <v>1</v>
      </c>
      <c r="R240" s="9">
        <v>0</v>
      </c>
      <c r="S240" s="9">
        <v>0</v>
      </c>
      <c r="T240" s="9">
        <v>0</v>
      </c>
      <c r="U240" s="9">
        <v>0</v>
      </c>
      <c r="V240" s="10">
        <f>SUM(Table676769727514212631[[#This Row],[Bus ]:[Wheelchair]])</f>
        <v>1</v>
      </c>
    </row>
    <row r="241" spans="2:22" ht="19.2" x14ac:dyDescent="0.4">
      <c r="B241" s="8" t="s">
        <v>33</v>
      </c>
      <c r="C241" s="8" t="s">
        <v>74</v>
      </c>
      <c r="D241" s="9">
        <v>0</v>
      </c>
      <c r="E241" s="9">
        <v>6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10">
        <f>SUM(Table6767717413202527[[#This Row],[Bus ]:[Wheelchair]])</f>
        <v>6</v>
      </c>
      <c r="M241" s="8" t="s">
        <v>38</v>
      </c>
      <c r="N241" s="8" t="s">
        <v>74</v>
      </c>
      <c r="O241" s="9">
        <v>0</v>
      </c>
      <c r="P241" s="9">
        <v>1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0">
        <f>SUM(Table676769727514212631[[#This Row],[Bus ]:[Wheelchair]])</f>
        <v>1</v>
      </c>
    </row>
    <row r="242" spans="2:22" ht="19.2" x14ac:dyDescent="0.4">
      <c r="B242" s="8" t="s">
        <v>38</v>
      </c>
      <c r="C242" s="8" t="s">
        <v>74</v>
      </c>
      <c r="D242" s="9">
        <v>0</v>
      </c>
      <c r="E242" s="9">
        <v>0</v>
      </c>
      <c r="F242" s="9">
        <v>2</v>
      </c>
      <c r="G242" s="9">
        <v>0</v>
      </c>
      <c r="H242" s="9">
        <v>0</v>
      </c>
      <c r="I242" s="9">
        <v>0</v>
      </c>
      <c r="J242" s="9">
        <v>0</v>
      </c>
      <c r="K242" s="10">
        <f>SUM(Table6767717413202527[[#This Row],[Bus ]:[Wheelchair]])</f>
        <v>2</v>
      </c>
      <c r="M242" s="8" t="s">
        <v>105</v>
      </c>
      <c r="N242" s="8" t="s">
        <v>74</v>
      </c>
      <c r="O242" s="9">
        <v>0</v>
      </c>
      <c r="P242" s="9">
        <v>1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0">
        <f>SUM(Table676769727514212631[[#This Row],[Bus ]:[Wheelchair]])</f>
        <v>1</v>
      </c>
    </row>
    <row r="243" spans="2:22" ht="19.2" x14ac:dyDescent="0.4">
      <c r="B243" s="8" t="s">
        <v>105</v>
      </c>
      <c r="C243" s="8" t="s">
        <v>74</v>
      </c>
      <c r="D243" s="9">
        <v>0</v>
      </c>
      <c r="E243" s="9">
        <v>16</v>
      </c>
      <c r="F243" s="9">
        <v>1</v>
      </c>
      <c r="G243" s="9">
        <v>0</v>
      </c>
      <c r="H243" s="9">
        <v>0</v>
      </c>
      <c r="I243" s="9">
        <v>0</v>
      </c>
      <c r="J243" s="9">
        <v>0</v>
      </c>
      <c r="K243" s="10">
        <f>SUM(Table6767717413202527[[#This Row],[Bus ]:[Wheelchair]])</f>
        <v>17</v>
      </c>
      <c r="M243" s="8" t="s">
        <v>148</v>
      </c>
      <c r="N243" s="8" t="s">
        <v>74</v>
      </c>
      <c r="O243" s="9">
        <v>0</v>
      </c>
      <c r="P243" s="9">
        <v>0</v>
      </c>
      <c r="Q243" s="9">
        <v>2</v>
      </c>
      <c r="R243" s="9">
        <v>0</v>
      </c>
      <c r="S243" s="9">
        <v>0</v>
      </c>
      <c r="T243" s="9">
        <v>0</v>
      </c>
      <c r="U243" s="9">
        <v>0</v>
      </c>
      <c r="V243" s="10">
        <f>SUM(Table676769727514212631[[#This Row],[Bus ]:[Wheelchair]])</f>
        <v>2</v>
      </c>
    </row>
    <row r="244" spans="2:22" ht="19.2" x14ac:dyDescent="0.4">
      <c r="B244" s="8" t="s">
        <v>42</v>
      </c>
      <c r="C244" s="8" t="s">
        <v>74</v>
      </c>
      <c r="D244" s="9">
        <v>0</v>
      </c>
      <c r="E244" s="9">
        <v>83</v>
      </c>
      <c r="F244" s="9">
        <v>29</v>
      </c>
      <c r="G244" s="9">
        <v>2</v>
      </c>
      <c r="H244" s="9">
        <v>0</v>
      </c>
      <c r="I244" s="9">
        <v>13</v>
      </c>
      <c r="J244" s="9">
        <v>6</v>
      </c>
      <c r="K244" s="10">
        <f>SUM(Table6767717413202527[[#This Row],[Bus ]:[Wheelchair]])</f>
        <v>133</v>
      </c>
      <c r="M244" s="8" t="s">
        <v>42</v>
      </c>
      <c r="N244" s="8" t="s">
        <v>74</v>
      </c>
      <c r="O244" s="9">
        <v>0</v>
      </c>
      <c r="P244" s="9">
        <v>35</v>
      </c>
      <c r="Q244" s="9">
        <v>11</v>
      </c>
      <c r="R244" s="9">
        <v>1</v>
      </c>
      <c r="S244" s="9">
        <v>0</v>
      </c>
      <c r="T244" s="9">
        <v>5</v>
      </c>
      <c r="U244" s="9">
        <v>0</v>
      </c>
      <c r="V244" s="10">
        <f>SUM(Table676769727514212631[[#This Row],[Bus ]:[Wheelchair]])</f>
        <v>52</v>
      </c>
    </row>
    <row r="245" spans="2:22" ht="19.2" x14ac:dyDescent="0.4">
      <c r="B245" s="8" t="s">
        <v>75</v>
      </c>
      <c r="C245" s="8" t="s">
        <v>74</v>
      </c>
      <c r="D245" s="9">
        <v>0</v>
      </c>
      <c r="E245" s="9">
        <v>0</v>
      </c>
      <c r="F245" s="9">
        <v>0</v>
      </c>
      <c r="G245" s="9">
        <v>0</v>
      </c>
      <c r="H245" s="9">
        <v>0</v>
      </c>
      <c r="I245" s="9">
        <v>1</v>
      </c>
      <c r="J245" s="9">
        <v>0</v>
      </c>
      <c r="K245" s="10">
        <f>SUM(Table6767717413202527[[#This Row],[Bus ]:[Wheelchair]])</f>
        <v>1</v>
      </c>
      <c r="M245" s="8" t="s">
        <v>52</v>
      </c>
      <c r="N245" s="8" t="s">
        <v>74</v>
      </c>
      <c r="O245" s="9">
        <v>0</v>
      </c>
      <c r="P245" s="9">
        <v>8</v>
      </c>
      <c r="Q245" s="9">
        <v>5</v>
      </c>
      <c r="R245" s="9">
        <v>0</v>
      </c>
      <c r="S245" s="9">
        <v>0</v>
      </c>
      <c r="T245" s="9">
        <v>0</v>
      </c>
      <c r="U245" s="9">
        <v>0</v>
      </c>
      <c r="V245" s="10">
        <f>SUM(Table676769727514212631[[#This Row],[Bus ]:[Wheelchair]])</f>
        <v>13</v>
      </c>
    </row>
    <row r="246" spans="2:22" ht="19.2" x14ac:dyDescent="0.4">
      <c r="B246" s="8" t="s">
        <v>166</v>
      </c>
      <c r="C246" s="8" t="s">
        <v>74</v>
      </c>
      <c r="D246" s="9">
        <v>0</v>
      </c>
      <c r="E246" s="9">
        <v>1</v>
      </c>
      <c r="F246" s="9">
        <v>0</v>
      </c>
      <c r="G246" s="9">
        <v>0</v>
      </c>
      <c r="H246" s="9">
        <v>0</v>
      </c>
      <c r="I246" s="9">
        <v>0</v>
      </c>
      <c r="J246" s="9">
        <v>0</v>
      </c>
      <c r="K246" s="10">
        <f>SUM(Table6767717413202527[[#This Row],[Bus ]:[Wheelchair]])</f>
        <v>1</v>
      </c>
      <c r="M246" s="8" t="s">
        <v>56</v>
      </c>
      <c r="N246" s="8" t="s">
        <v>74</v>
      </c>
      <c r="O246" s="9">
        <v>0</v>
      </c>
      <c r="P246" s="9">
        <v>0</v>
      </c>
      <c r="Q246" s="9">
        <v>4</v>
      </c>
      <c r="R246" s="9">
        <v>0</v>
      </c>
      <c r="S246" s="9">
        <v>0</v>
      </c>
      <c r="T246" s="9">
        <v>0</v>
      </c>
      <c r="U246" s="9">
        <v>0</v>
      </c>
      <c r="V246" s="10">
        <f>SUM(Table676769727514212631[[#This Row],[Bus ]:[Wheelchair]])</f>
        <v>4</v>
      </c>
    </row>
    <row r="247" spans="2:22" ht="19.2" x14ac:dyDescent="0.4">
      <c r="B247" s="8" t="s">
        <v>52</v>
      </c>
      <c r="C247" s="8" t="s">
        <v>74</v>
      </c>
      <c r="D247" s="9">
        <v>0</v>
      </c>
      <c r="E247" s="9">
        <v>2</v>
      </c>
      <c r="F247" s="9">
        <v>3</v>
      </c>
      <c r="G247" s="9">
        <v>0</v>
      </c>
      <c r="H247" s="9">
        <v>0</v>
      </c>
      <c r="I247" s="9">
        <v>0</v>
      </c>
      <c r="J247" s="9">
        <v>0</v>
      </c>
      <c r="K247" s="10">
        <f>SUM(Table6767717413202527[[#This Row],[Bus ]:[Wheelchair]])</f>
        <v>5</v>
      </c>
      <c r="M247" s="8" t="s">
        <v>57</v>
      </c>
      <c r="N247" s="8" t="s">
        <v>74</v>
      </c>
      <c r="O247" s="9">
        <v>0</v>
      </c>
      <c r="P247" s="9">
        <v>1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0">
        <f>SUM(Table676769727514212631[[#This Row],[Bus ]:[Wheelchair]])</f>
        <v>1</v>
      </c>
    </row>
    <row r="248" spans="2:22" ht="19.2" x14ac:dyDescent="0.4">
      <c r="B248" s="8" t="s">
        <v>56</v>
      </c>
      <c r="C248" s="8" t="s">
        <v>74</v>
      </c>
      <c r="D248" s="9">
        <v>0</v>
      </c>
      <c r="E248" s="9">
        <v>0</v>
      </c>
      <c r="F248" s="9">
        <v>1</v>
      </c>
      <c r="G248" s="9">
        <v>0</v>
      </c>
      <c r="H248" s="9">
        <v>0</v>
      </c>
      <c r="I248" s="9">
        <v>0</v>
      </c>
      <c r="J248" s="9">
        <v>0</v>
      </c>
      <c r="K248" s="10">
        <f>SUM(Table6767717413202527[[#This Row],[Bus ]:[Wheelchair]])</f>
        <v>1</v>
      </c>
      <c r="M248" s="8" t="s">
        <v>131</v>
      </c>
      <c r="N248" s="8" t="s">
        <v>74</v>
      </c>
      <c r="O248" s="9">
        <v>0</v>
      </c>
      <c r="P248" s="9">
        <v>1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0">
        <f>SUM(Table676769727514212631[[#This Row],[Bus ]:[Wheelchair]])</f>
        <v>1</v>
      </c>
    </row>
    <row r="249" spans="2:22" ht="19.2" x14ac:dyDescent="0.4">
      <c r="B249" s="8" t="s">
        <v>57</v>
      </c>
      <c r="C249" s="8" t="s">
        <v>74</v>
      </c>
      <c r="D249" s="9">
        <v>0</v>
      </c>
      <c r="E249" s="9">
        <v>4</v>
      </c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10">
        <f>SUM(Table6767717413202527[[#This Row],[Bus ]:[Wheelchair]])</f>
        <v>4</v>
      </c>
      <c r="M249" s="8" t="s">
        <v>59</v>
      </c>
      <c r="N249" s="8" t="s">
        <v>74</v>
      </c>
      <c r="O249" s="9">
        <v>0</v>
      </c>
      <c r="P249" s="9">
        <v>1</v>
      </c>
      <c r="Q249" s="9">
        <v>1</v>
      </c>
      <c r="R249" s="9">
        <v>0</v>
      </c>
      <c r="S249" s="9">
        <v>0</v>
      </c>
      <c r="T249" s="9">
        <v>0</v>
      </c>
      <c r="U249" s="9">
        <v>0</v>
      </c>
      <c r="V249" s="10">
        <f>SUM(Table676769727514212631[[#This Row],[Bus ]:[Wheelchair]])</f>
        <v>2</v>
      </c>
    </row>
    <row r="250" spans="2:22" ht="19.2" x14ac:dyDescent="0.4">
      <c r="B250" s="8" t="s">
        <v>131</v>
      </c>
      <c r="C250" s="8" t="s">
        <v>74</v>
      </c>
      <c r="D250" s="9">
        <v>0</v>
      </c>
      <c r="E250" s="9">
        <v>2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10">
        <f>SUM(Table6767717413202527[[#This Row],[Bus ]:[Wheelchair]])</f>
        <v>2</v>
      </c>
      <c r="M250" s="8" t="s">
        <v>60</v>
      </c>
      <c r="N250" s="8" t="s">
        <v>74</v>
      </c>
      <c r="O250" s="9">
        <v>0</v>
      </c>
      <c r="P250" s="9">
        <v>6</v>
      </c>
      <c r="Q250" s="9">
        <v>9</v>
      </c>
      <c r="R250" s="9">
        <v>0</v>
      </c>
      <c r="S250" s="9">
        <v>0</v>
      </c>
      <c r="T250" s="9">
        <v>0</v>
      </c>
      <c r="U250" s="9">
        <v>0</v>
      </c>
      <c r="V250" s="10">
        <f>SUM(Table676769727514212631[[#This Row],[Bus ]:[Wheelchair]])</f>
        <v>15</v>
      </c>
    </row>
    <row r="251" spans="2:22" ht="19.2" x14ac:dyDescent="0.4">
      <c r="B251" s="8" t="s">
        <v>59</v>
      </c>
      <c r="C251" s="8" t="s">
        <v>74</v>
      </c>
      <c r="D251" s="9">
        <v>0</v>
      </c>
      <c r="E251" s="9">
        <v>2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10">
        <f>SUM(Table6767717413202527[[#This Row],[Bus ]:[Wheelchair]])</f>
        <v>2</v>
      </c>
      <c r="M251" s="8" t="s">
        <v>112</v>
      </c>
      <c r="N251" s="8" t="s">
        <v>78</v>
      </c>
      <c r="O251" s="9">
        <v>0</v>
      </c>
      <c r="P251" s="9">
        <v>5</v>
      </c>
      <c r="Q251" s="9">
        <v>0</v>
      </c>
      <c r="R251" s="9">
        <v>0</v>
      </c>
      <c r="S251" s="9">
        <v>0</v>
      </c>
      <c r="T251" s="9">
        <v>2</v>
      </c>
      <c r="U251" s="9">
        <v>0</v>
      </c>
      <c r="V251" s="10">
        <f>SUM(Table676769727514212631[[#This Row],[Bus ]:[Wheelchair]])</f>
        <v>7</v>
      </c>
    </row>
    <row r="252" spans="2:22" ht="19.2" x14ac:dyDescent="0.4">
      <c r="B252" s="8" t="s">
        <v>60</v>
      </c>
      <c r="C252" s="8" t="s">
        <v>74</v>
      </c>
      <c r="D252" s="9">
        <v>0</v>
      </c>
      <c r="E252" s="9">
        <v>18</v>
      </c>
      <c r="F252" s="9">
        <v>10</v>
      </c>
      <c r="G252" s="9">
        <v>0</v>
      </c>
      <c r="H252" s="9">
        <v>0</v>
      </c>
      <c r="I252" s="9">
        <v>0</v>
      </c>
      <c r="J252" s="9">
        <v>1</v>
      </c>
      <c r="K252" s="10">
        <f>SUM(Table6767717413202527[[#This Row],[Bus ]:[Wheelchair]])</f>
        <v>29</v>
      </c>
      <c r="M252" s="8" t="s">
        <v>113</v>
      </c>
      <c r="N252" s="8" t="s">
        <v>78</v>
      </c>
      <c r="O252" s="9">
        <v>0</v>
      </c>
      <c r="P252" s="9">
        <v>5</v>
      </c>
      <c r="Q252" s="9">
        <v>0</v>
      </c>
      <c r="R252" s="9">
        <v>0</v>
      </c>
      <c r="S252" s="9">
        <v>0</v>
      </c>
      <c r="T252" s="9">
        <v>2</v>
      </c>
      <c r="U252" s="9">
        <v>0</v>
      </c>
      <c r="V252" s="10">
        <f>SUM(Table676769727514212631[[#This Row],[Bus ]:[Wheelchair]])</f>
        <v>7</v>
      </c>
    </row>
    <row r="253" spans="2:22" ht="19.2" x14ac:dyDescent="0.4">
      <c r="B253" s="8" t="s">
        <v>129</v>
      </c>
      <c r="C253" s="8" t="s">
        <v>78</v>
      </c>
      <c r="D253" s="9">
        <v>0</v>
      </c>
      <c r="E253" s="9">
        <v>0</v>
      </c>
      <c r="F253" s="9">
        <v>1</v>
      </c>
      <c r="G253" s="9">
        <v>0</v>
      </c>
      <c r="H253" s="9">
        <v>0</v>
      </c>
      <c r="I253" s="9">
        <v>0</v>
      </c>
      <c r="J253" s="9">
        <v>0</v>
      </c>
      <c r="K253" s="10">
        <f>SUM(Table6767717413202527[[#This Row],[Bus ]:[Wheelchair]])</f>
        <v>1</v>
      </c>
      <c r="M253" s="8" t="s">
        <v>35</v>
      </c>
      <c r="N253" s="8" t="s">
        <v>79</v>
      </c>
      <c r="O253" s="9">
        <v>0</v>
      </c>
      <c r="P253" s="9">
        <v>4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0">
        <f>SUM(Table676769727514212631[[#This Row],[Bus ]:[Wheelchair]])</f>
        <v>4</v>
      </c>
    </row>
    <row r="254" spans="2:22" ht="19.2" x14ac:dyDescent="0.4">
      <c r="B254" s="8" t="s">
        <v>40</v>
      </c>
      <c r="C254" s="8" t="s">
        <v>79</v>
      </c>
      <c r="D254" s="9">
        <v>0</v>
      </c>
      <c r="E254" s="9">
        <v>0</v>
      </c>
      <c r="F254" s="9">
        <v>1</v>
      </c>
      <c r="G254" s="9">
        <v>0</v>
      </c>
      <c r="H254" s="9">
        <v>0</v>
      </c>
      <c r="I254" s="9">
        <v>0</v>
      </c>
      <c r="J254" s="9">
        <v>0</v>
      </c>
      <c r="K254" s="10">
        <f>SUM(Table6767717413202527[[#This Row],[Bus ]:[Wheelchair]])</f>
        <v>1</v>
      </c>
      <c r="M254" s="8" t="s">
        <v>63</v>
      </c>
      <c r="N254" s="8" t="s">
        <v>79</v>
      </c>
      <c r="O254" s="9">
        <v>0</v>
      </c>
      <c r="P254" s="9">
        <v>6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0">
        <f>SUM(Table676769727514212631[[#This Row],[Bus ]:[Wheelchair]])</f>
        <v>6</v>
      </c>
    </row>
    <row r="255" spans="2:22" ht="19.2" x14ac:dyDescent="0.4">
      <c r="B255" s="8" t="s">
        <v>91</v>
      </c>
      <c r="C255" s="8" t="s">
        <v>79</v>
      </c>
      <c r="D255" s="9">
        <v>0</v>
      </c>
      <c r="E255" s="9">
        <v>2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10">
        <f>SUM(Table6767717413202527[[#This Row],[Bus ]:[Wheelchair]])</f>
        <v>2</v>
      </c>
      <c r="M255" s="8" t="s">
        <v>167</v>
      </c>
      <c r="N255" s="8" t="s">
        <v>164</v>
      </c>
      <c r="O255" s="9">
        <v>0</v>
      </c>
      <c r="P255" s="9">
        <v>0</v>
      </c>
      <c r="Q255" s="9">
        <v>1</v>
      </c>
      <c r="R255" s="9">
        <v>0</v>
      </c>
      <c r="S255" s="9">
        <v>0</v>
      </c>
      <c r="T255" s="9">
        <v>0</v>
      </c>
      <c r="U255" s="9">
        <v>0</v>
      </c>
      <c r="V255" s="10">
        <f>SUM(Table676769727514212631[[#This Row],[Bus ]:[Wheelchair]])</f>
        <v>1</v>
      </c>
    </row>
    <row r="256" spans="2:22" ht="19.2" x14ac:dyDescent="0.4">
      <c r="B256" s="8" t="s">
        <v>63</v>
      </c>
      <c r="C256" s="8" t="s">
        <v>79</v>
      </c>
      <c r="D256" s="9">
        <v>0</v>
      </c>
      <c r="E256" s="9">
        <v>7</v>
      </c>
      <c r="F256" s="9">
        <v>6</v>
      </c>
      <c r="G256" s="9">
        <v>0</v>
      </c>
      <c r="H256" s="9">
        <v>0</v>
      </c>
      <c r="I256" s="9">
        <v>0</v>
      </c>
      <c r="J256" s="9">
        <v>0</v>
      </c>
      <c r="K256" s="10">
        <f>SUM(Table6767717413202527[[#This Row],[Bus ]:[Wheelchair]])</f>
        <v>13</v>
      </c>
      <c r="M256" s="8" t="s">
        <v>97</v>
      </c>
      <c r="N256" s="8" t="s">
        <v>81</v>
      </c>
      <c r="O256" s="9">
        <v>0</v>
      </c>
      <c r="P256" s="9">
        <v>0</v>
      </c>
      <c r="Q256" s="9">
        <v>1</v>
      </c>
      <c r="R256" s="9">
        <v>0</v>
      </c>
      <c r="S256" s="9">
        <v>0</v>
      </c>
      <c r="T256" s="9">
        <v>0</v>
      </c>
      <c r="U256" s="9">
        <v>0</v>
      </c>
      <c r="V256" s="10">
        <f>SUM(Table676769727514212631[[#This Row],[Bus ]:[Wheelchair]])</f>
        <v>1</v>
      </c>
    </row>
    <row r="257" spans="2:22" ht="19.2" x14ac:dyDescent="0.4">
      <c r="B257" s="8" t="s">
        <v>168</v>
      </c>
      <c r="C257" s="8" t="s">
        <v>165</v>
      </c>
      <c r="D257" s="9">
        <v>0</v>
      </c>
      <c r="E257" s="9">
        <v>1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10">
        <f>SUM(Table6767717413202527[[#This Row],[Bus ]:[Wheelchair]])</f>
        <v>1</v>
      </c>
      <c r="M257" s="8" t="s">
        <v>32</v>
      </c>
      <c r="N257" s="8" t="s">
        <v>87</v>
      </c>
      <c r="O257" s="9">
        <v>0</v>
      </c>
      <c r="P257" s="9">
        <v>5</v>
      </c>
      <c r="Q257" s="9">
        <v>13</v>
      </c>
      <c r="R257" s="9">
        <v>0</v>
      </c>
      <c r="S257" s="9">
        <v>1</v>
      </c>
      <c r="T257" s="9">
        <v>0</v>
      </c>
      <c r="U257" s="9">
        <v>0</v>
      </c>
      <c r="V257" s="10">
        <f>SUM(Table676769727514212631[[#This Row],[Bus ]:[Wheelchair]])</f>
        <v>19</v>
      </c>
    </row>
    <row r="258" spans="2:22" ht="19.2" x14ac:dyDescent="0.4">
      <c r="B258" s="8" t="s">
        <v>32</v>
      </c>
      <c r="C258" s="8" t="s">
        <v>87</v>
      </c>
      <c r="D258" s="9">
        <v>0</v>
      </c>
      <c r="E258" s="9">
        <v>0</v>
      </c>
      <c r="F258" s="9">
        <v>14</v>
      </c>
      <c r="G258" s="9">
        <v>0</v>
      </c>
      <c r="H258" s="9">
        <v>0</v>
      </c>
      <c r="I258" s="9">
        <v>0</v>
      </c>
      <c r="J258" s="9">
        <v>0</v>
      </c>
      <c r="K258" s="10">
        <f>SUM(Table6767717413202527[[#This Row],[Bus ]:[Wheelchair]])</f>
        <v>14</v>
      </c>
      <c r="M258" s="8" t="s">
        <v>36</v>
      </c>
      <c r="N258" s="8" t="s">
        <v>92</v>
      </c>
      <c r="O258" s="9">
        <v>0</v>
      </c>
      <c r="P258" s="9">
        <v>1</v>
      </c>
      <c r="Q258" s="9">
        <v>1</v>
      </c>
      <c r="R258" s="9">
        <v>0</v>
      </c>
      <c r="S258" s="9">
        <v>0</v>
      </c>
      <c r="T258" s="9">
        <v>0</v>
      </c>
      <c r="U258" s="9">
        <v>0</v>
      </c>
      <c r="V258" s="10">
        <f>SUM(Table676769727514212631[[#This Row],[Bus ]:[Wheelchair]])</f>
        <v>2</v>
      </c>
    </row>
    <row r="259" spans="2:22" ht="19.2" x14ac:dyDescent="0.4">
      <c r="B259" s="8" t="s">
        <v>132</v>
      </c>
      <c r="C259" s="8" t="s">
        <v>115</v>
      </c>
      <c r="D259" s="9">
        <v>0</v>
      </c>
      <c r="E259" s="9">
        <v>0</v>
      </c>
      <c r="F259" s="9">
        <v>2</v>
      </c>
      <c r="G259" s="9">
        <v>0</v>
      </c>
      <c r="H259" s="9">
        <v>0</v>
      </c>
      <c r="I259" s="9">
        <v>0</v>
      </c>
      <c r="J259" s="9">
        <v>0</v>
      </c>
      <c r="K259" s="10">
        <f>SUM(Table6767717413202527[[#This Row],[Bus ]:[Wheelchair]])</f>
        <v>2</v>
      </c>
      <c r="M259" s="8" t="s">
        <v>55</v>
      </c>
      <c r="N259" s="8" t="s">
        <v>92</v>
      </c>
      <c r="O259" s="9">
        <v>0</v>
      </c>
      <c r="P259" s="9">
        <v>92</v>
      </c>
      <c r="Q259" s="9">
        <v>43</v>
      </c>
      <c r="R259" s="9">
        <v>0</v>
      </c>
      <c r="S259" s="9">
        <v>1</v>
      </c>
      <c r="T259" s="9">
        <v>9</v>
      </c>
      <c r="U259" s="9">
        <v>12</v>
      </c>
      <c r="V259" s="10">
        <f>SUM(Table676769727514212631[[#This Row],[Bus ]:[Wheelchair]])</f>
        <v>157</v>
      </c>
    </row>
    <row r="260" spans="2:22" ht="19.2" x14ac:dyDescent="0.4">
      <c r="B260" s="8" t="s">
        <v>145</v>
      </c>
      <c r="C260" s="8" t="s">
        <v>128</v>
      </c>
      <c r="D260" s="9">
        <v>0</v>
      </c>
      <c r="E260" s="9">
        <v>0</v>
      </c>
      <c r="F260" s="9">
        <v>4</v>
      </c>
      <c r="G260" s="9">
        <v>0</v>
      </c>
      <c r="H260" s="9">
        <v>0</v>
      </c>
      <c r="I260" s="9">
        <v>0</v>
      </c>
      <c r="J260" s="9">
        <v>0</v>
      </c>
      <c r="K260" s="10">
        <f>SUM(Table6767717413202527[[#This Row],[Bus ]:[Wheelchair]])</f>
        <v>4</v>
      </c>
      <c r="M260" s="8" t="s">
        <v>65</v>
      </c>
      <c r="N260" s="8" t="s">
        <v>92</v>
      </c>
      <c r="O260" s="9">
        <v>0</v>
      </c>
      <c r="P260" s="9">
        <v>2</v>
      </c>
      <c r="Q260" s="9">
        <v>3</v>
      </c>
      <c r="R260" s="9">
        <v>0</v>
      </c>
      <c r="S260" s="9">
        <v>0</v>
      </c>
      <c r="T260" s="9">
        <v>1</v>
      </c>
      <c r="U260" s="9">
        <v>0</v>
      </c>
      <c r="V260" s="10">
        <f>SUM(Table676769727514212631[[#This Row],[Bus ]:[Wheelchair]])</f>
        <v>6</v>
      </c>
    </row>
    <row r="261" spans="2:22" ht="19.2" x14ac:dyDescent="0.4">
      <c r="B261" s="8" t="s">
        <v>162</v>
      </c>
      <c r="C261" s="8" t="s">
        <v>128</v>
      </c>
      <c r="D261" s="9">
        <v>0</v>
      </c>
      <c r="E261" s="9">
        <v>2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10">
        <f>SUM(Table6767717413202527[[#This Row],[Bus ]:[Wheelchair]])</f>
        <v>2</v>
      </c>
      <c r="M261" s="8" t="s">
        <v>66</v>
      </c>
      <c r="N261" s="8" t="s">
        <v>92</v>
      </c>
      <c r="O261" s="9">
        <v>0</v>
      </c>
      <c r="P261" s="9">
        <v>0</v>
      </c>
      <c r="Q261" s="9">
        <v>6</v>
      </c>
      <c r="R261" s="9">
        <v>0</v>
      </c>
      <c r="S261" s="9">
        <v>0</v>
      </c>
      <c r="T261" s="9">
        <v>0</v>
      </c>
      <c r="U261" s="9">
        <v>0</v>
      </c>
      <c r="V261" s="10">
        <f>SUM(Table676769727514212631[[#This Row],[Bus ]:[Wheelchair]])</f>
        <v>6</v>
      </c>
    </row>
    <row r="262" spans="2:22" ht="19.2" x14ac:dyDescent="0.4">
      <c r="B262" s="8" t="s">
        <v>62</v>
      </c>
      <c r="C262" s="8" t="s">
        <v>128</v>
      </c>
      <c r="D262" s="9">
        <v>0</v>
      </c>
      <c r="E262" s="9">
        <v>2</v>
      </c>
      <c r="F262" s="9">
        <v>4</v>
      </c>
      <c r="G262" s="9">
        <v>0</v>
      </c>
      <c r="H262" s="9">
        <v>0</v>
      </c>
      <c r="I262" s="9">
        <v>0</v>
      </c>
      <c r="J262" s="9">
        <v>0</v>
      </c>
      <c r="K262" s="10">
        <f>SUM(Table6767717413202527[[#This Row],[Bus ]:[Wheelchair]])</f>
        <v>6</v>
      </c>
      <c r="M262" s="8" t="s">
        <v>163</v>
      </c>
      <c r="N262" s="8" t="s">
        <v>96</v>
      </c>
      <c r="O262" s="9">
        <v>0</v>
      </c>
      <c r="P262" s="9">
        <v>0</v>
      </c>
      <c r="Q262" s="9">
        <v>6</v>
      </c>
      <c r="R262" s="9">
        <v>0</v>
      </c>
      <c r="S262" s="9">
        <v>0</v>
      </c>
      <c r="T262" s="9">
        <v>0</v>
      </c>
      <c r="U262" s="9">
        <v>0</v>
      </c>
      <c r="V262" s="10">
        <f>SUM(Table676769727514212631[[#This Row],[Bus ]:[Wheelchair]])</f>
        <v>6</v>
      </c>
    </row>
    <row r="263" spans="2:22" ht="20.399999999999999" x14ac:dyDescent="0.4">
      <c r="B263" s="8" t="s">
        <v>36</v>
      </c>
      <c r="C263" s="8" t="s">
        <v>92</v>
      </c>
      <c r="D263" s="9">
        <v>0</v>
      </c>
      <c r="E263" s="9">
        <v>2</v>
      </c>
      <c r="F263" s="9">
        <v>2</v>
      </c>
      <c r="G263" s="9">
        <v>0</v>
      </c>
      <c r="H263" s="9">
        <v>0</v>
      </c>
      <c r="I263" s="9">
        <v>0</v>
      </c>
      <c r="J263" s="9">
        <v>0</v>
      </c>
      <c r="K263" s="10">
        <f>SUM(Table6767717413202527[[#This Row],[Bus ]:[Wheelchair]])</f>
        <v>4</v>
      </c>
      <c r="M263" s="31" t="s">
        <v>20</v>
      </c>
      <c r="N263" s="31"/>
      <c r="O263" s="32">
        <f>SUBTOTAL(109,Table676769727514212631[[Bus ]])</f>
        <v>0</v>
      </c>
      <c r="P263" s="32">
        <f>SUBTOTAL(109,Table676769727514212631[Cab])</f>
        <v>229</v>
      </c>
      <c r="Q263" s="32">
        <f>SUBTOTAL(109,Table676769727514212631[GMR])</f>
        <v>110</v>
      </c>
      <c r="R263" s="32">
        <f>SUBTOTAL(109,Table676769727514212631[Public Entity])</f>
        <v>1</v>
      </c>
      <c r="S263" s="32">
        <f>SUBTOTAL(109,Table676769727514212631[Stretcher])</f>
        <v>2</v>
      </c>
      <c r="T263" s="32">
        <f>SUBTOTAL(109,Table676769727514212631[TNC Vendor])</f>
        <v>19</v>
      </c>
      <c r="U263" s="32">
        <f>SUBTOTAL(109,Table676769727514212631[Wheelchair])</f>
        <v>12</v>
      </c>
      <c r="V263" s="32">
        <f>SUBTOTAL(109,Table676769727514212631[Total])</f>
        <v>373</v>
      </c>
    </row>
    <row r="264" spans="2:22" ht="19.2" x14ac:dyDescent="0.4">
      <c r="B264" s="8" t="s">
        <v>55</v>
      </c>
      <c r="C264" s="8" t="s">
        <v>92</v>
      </c>
      <c r="D264" s="9">
        <v>0</v>
      </c>
      <c r="E264" s="9">
        <v>66</v>
      </c>
      <c r="F264" s="9">
        <v>64</v>
      </c>
      <c r="G264" s="9">
        <v>4</v>
      </c>
      <c r="H264" s="9">
        <v>0</v>
      </c>
      <c r="I264" s="9">
        <v>58</v>
      </c>
      <c r="J264" s="9">
        <v>1</v>
      </c>
      <c r="K264" s="10">
        <f>SUM(Table6767717413202527[[#This Row],[Bus ]:[Wheelchair]])</f>
        <v>193</v>
      </c>
      <c r="V264" s="12"/>
    </row>
    <row r="265" spans="2:22" ht="19.2" x14ac:dyDescent="0.4">
      <c r="B265" s="8" t="s">
        <v>135</v>
      </c>
      <c r="C265" s="8" t="s">
        <v>92</v>
      </c>
      <c r="D265" s="9">
        <v>0</v>
      </c>
      <c r="E265" s="9">
        <v>0</v>
      </c>
      <c r="F265" s="9">
        <v>1</v>
      </c>
      <c r="G265" s="9">
        <v>0</v>
      </c>
      <c r="H265" s="9">
        <v>0</v>
      </c>
      <c r="I265" s="9">
        <v>0</v>
      </c>
      <c r="J265" s="9">
        <v>0</v>
      </c>
      <c r="K265" s="10">
        <f>SUM(Table6767717413202527[[#This Row],[Bus ]:[Wheelchair]])</f>
        <v>1</v>
      </c>
      <c r="V265" s="12"/>
    </row>
    <row r="266" spans="2:22" ht="19.2" x14ac:dyDescent="0.4">
      <c r="B266" s="8" t="s">
        <v>61</v>
      </c>
      <c r="C266" s="8" t="s">
        <v>92</v>
      </c>
      <c r="D266" s="9">
        <v>0</v>
      </c>
      <c r="E266" s="9">
        <v>1</v>
      </c>
      <c r="F266" s="9">
        <v>0</v>
      </c>
      <c r="G266" s="9">
        <v>0</v>
      </c>
      <c r="H266" s="9">
        <v>0</v>
      </c>
      <c r="I266" s="9">
        <v>0</v>
      </c>
      <c r="J266" s="9">
        <v>0</v>
      </c>
      <c r="K266" s="10">
        <f>SUM(Table6767717413202527[[#This Row],[Bus ]:[Wheelchair]])</f>
        <v>1</v>
      </c>
      <c r="V266" s="12"/>
    </row>
    <row r="267" spans="2:22" ht="19.2" x14ac:dyDescent="0.4">
      <c r="B267" s="8" t="s">
        <v>65</v>
      </c>
      <c r="C267" s="8" t="s">
        <v>92</v>
      </c>
      <c r="D267" s="9">
        <v>0</v>
      </c>
      <c r="E267" s="9">
        <v>5</v>
      </c>
      <c r="F267" s="9">
        <v>5</v>
      </c>
      <c r="G267" s="9">
        <v>0</v>
      </c>
      <c r="H267" s="9">
        <v>0</v>
      </c>
      <c r="I267" s="9">
        <v>5</v>
      </c>
      <c r="J267" s="9">
        <v>0</v>
      </c>
      <c r="K267" s="10">
        <f>SUM(Table6767717413202527[[#This Row],[Bus ]:[Wheelchair]])</f>
        <v>15</v>
      </c>
      <c r="V267" s="12"/>
    </row>
    <row r="268" spans="2:22" ht="19.2" x14ac:dyDescent="0.4">
      <c r="B268" s="8" t="s">
        <v>66</v>
      </c>
      <c r="C268" s="8" t="s">
        <v>92</v>
      </c>
      <c r="D268" s="9">
        <v>0</v>
      </c>
      <c r="E268" s="9">
        <v>2</v>
      </c>
      <c r="F268" s="9">
        <v>13</v>
      </c>
      <c r="G268" s="9">
        <v>0</v>
      </c>
      <c r="H268" s="9">
        <v>0</v>
      </c>
      <c r="I268" s="9">
        <v>0</v>
      </c>
      <c r="J268" s="9">
        <v>3</v>
      </c>
      <c r="K268" s="10">
        <f>SUM(Table6767717413202527[[#This Row],[Bus ]:[Wheelchair]])</f>
        <v>18</v>
      </c>
      <c r="V268" s="12"/>
    </row>
    <row r="269" spans="2:22" ht="19.2" x14ac:dyDescent="0.4">
      <c r="B269" s="8" t="s">
        <v>169</v>
      </c>
      <c r="C269" s="8" t="s">
        <v>133</v>
      </c>
      <c r="D269" s="9">
        <v>0</v>
      </c>
      <c r="E269" s="9">
        <v>3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10">
        <f>SUM(Table6767717413202527[[#This Row],[Bus ]:[Wheelchair]])</f>
        <v>3</v>
      </c>
      <c r="V269" s="12"/>
    </row>
    <row r="270" spans="2:22" ht="20.399999999999999" x14ac:dyDescent="0.4">
      <c r="B270" s="27" t="s">
        <v>20</v>
      </c>
      <c r="C270" s="27"/>
      <c r="D270" s="28">
        <f>SUBTOTAL(109,Table6767717413202527[[Bus ]])</f>
        <v>0</v>
      </c>
      <c r="E270" s="28">
        <f>SUBTOTAL(109,Table6767717413202527[Cab])</f>
        <v>244</v>
      </c>
      <c r="F270" s="28">
        <f>SUBTOTAL(109,Table6767717413202527[GMR])</f>
        <v>181</v>
      </c>
      <c r="G270" s="28">
        <f>SUBTOTAL(109,Table6767717413202527[Public Entity])</f>
        <v>6</v>
      </c>
      <c r="H270" s="28">
        <f>SUBTOTAL(109,Table6767717413202527[Stretcher])</f>
        <v>0</v>
      </c>
      <c r="I270" s="28">
        <f>SUBTOTAL(109,Table6767717413202527[TNC Vendor])</f>
        <v>82</v>
      </c>
      <c r="J270" s="28">
        <f>SUBTOTAL(109,Table6767717413202527[Wheelchair])</f>
        <v>11</v>
      </c>
      <c r="K270" s="28">
        <f>SUBTOTAL(109,Table6767717413202527[Total])</f>
        <v>524</v>
      </c>
      <c r="V270" s="12"/>
    </row>
    <row r="271" spans="2:22" x14ac:dyDescent="0.4">
      <c r="V271" s="12"/>
    </row>
    <row r="272" spans="2:22" x14ac:dyDescent="0.4">
      <c r="V272" s="12"/>
    </row>
    <row r="273" spans="2:22" ht="19.2" x14ac:dyDescent="0.45">
      <c r="B273" s="38">
        <v>45505</v>
      </c>
      <c r="C273" s="38"/>
      <c r="D273" s="38"/>
      <c r="E273" s="39" t="s">
        <v>22</v>
      </c>
      <c r="F273" s="39"/>
      <c r="G273" s="39"/>
      <c r="H273" s="39"/>
      <c r="I273" s="39"/>
      <c r="J273" s="39"/>
      <c r="K273" s="39"/>
      <c r="L273" s="1"/>
      <c r="M273" s="40">
        <v>45870</v>
      </c>
      <c r="N273" s="40"/>
      <c r="O273" s="40"/>
      <c r="P273" s="41" t="s">
        <v>22</v>
      </c>
      <c r="Q273" s="41"/>
      <c r="R273" s="41"/>
      <c r="S273" s="41"/>
      <c r="T273" s="41"/>
      <c r="U273" s="41"/>
      <c r="V273" s="41"/>
    </row>
    <row r="274" spans="2:22" ht="19.2" x14ac:dyDescent="0.45">
      <c r="B274" s="38"/>
      <c r="C274" s="38"/>
      <c r="D274" s="38"/>
      <c r="E274" s="39"/>
      <c r="F274" s="39"/>
      <c r="G274" s="39"/>
      <c r="H274" s="39"/>
      <c r="I274" s="39"/>
      <c r="J274" s="39"/>
      <c r="K274" s="39"/>
      <c r="L274" s="1"/>
      <c r="M274" s="40"/>
      <c r="N274" s="40"/>
      <c r="O274" s="40"/>
      <c r="P274" s="41"/>
      <c r="Q274" s="41"/>
      <c r="R274" s="41"/>
      <c r="S274" s="41"/>
      <c r="T274" s="41"/>
      <c r="U274" s="41"/>
      <c r="V274" s="41"/>
    </row>
    <row r="275" spans="2:22" ht="20.399999999999999" x14ac:dyDescent="0.45">
      <c r="B275" s="3" t="s">
        <v>23</v>
      </c>
      <c r="C275" s="3" t="s">
        <v>68</v>
      </c>
      <c r="D275" s="4" t="s">
        <v>25</v>
      </c>
      <c r="E275" s="4" t="s">
        <v>0</v>
      </c>
      <c r="F275" s="4" t="s">
        <v>26</v>
      </c>
      <c r="G275" s="4" t="s">
        <v>27</v>
      </c>
      <c r="H275" s="4" t="s">
        <v>1</v>
      </c>
      <c r="I275" s="4" t="s">
        <v>2</v>
      </c>
      <c r="J275" s="4" t="s">
        <v>3</v>
      </c>
      <c r="K275" s="4" t="s">
        <v>20</v>
      </c>
      <c r="L275" s="5"/>
      <c r="M275" s="6" t="s">
        <v>23</v>
      </c>
      <c r="N275" s="6" t="s">
        <v>68</v>
      </c>
      <c r="O275" s="7" t="s">
        <v>25</v>
      </c>
      <c r="P275" s="7" t="s">
        <v>0</v>
      </c>
      <c r="Q275" s="7" t="s">
        <v>26</v>
      </c>
      <c r="R275" s="7" t="s">
        <v>27</v>
      </c>
      <c r="S275" s="7" t="s">
        <v>1</v>
      </c>
      <c r="T275" s="7" t="s">
        <v>2</v>
      </c>
      <c r="U275" s="7" t="s">
        <v>3</v>
      </c>
      <c r="V275" s="7" t="s">
        <v>20</v>
      </c>
    </row>
    <row r="276" spans="2:22" ht="19.2" hidden="1" x14ac:dyDescent="0.4">
      <c r="B276" s="8" t="s">
        <v>64</v>
      </c>
      <c r="C276" s="8" t="s">
        <v>69</v>
      </c>
      <c r="D276" s="9">
        <v>0</v>
      </c>
      <c r="E276" s="9">
        <v>0</v>
      </c>
      <c r="F276" s="9">
        <v>8</v>
      </c>
      <c r="G276" s="9">
        <v>5</v>
      </c>
      <c r="H276" s="9">
        <v>7</v>
      </c>
      <c r="I276" s="9">
        <v>0</v>
      </c>
      <c r="J276" s="9">
        <v>2</v>
      </c>
      <c r="K276" s="10">
        <f>SUM(Table676771741320252737[[#This Row],[Bus ]:[Wheelchair]])</f>
        <v>22</v>
      </c>
      <c r="M276" s="8" t="s">
        <v>64</v>
      </c>
      <c r="N276" s="8" t="s">
        <v>69</v>
      </c>
      <c r="O276" s="9">
        <v>0</v>
      </c>
      <c r="P276" s="9">
        <v>0</v>
      </c>
      <c r="Q276" s="9">
        <v>1</v>
      </c>
      <c r="R276" s="9">
        <v>33</v>
      </c>
      <c r="S276" s="9">
        <v>1</v>
      </c>
      <c r="T276" s="9">
        <v>0</v>
      </c>
      <c r="U276" s="9">
        <v>0</v>
      </c>
      <c r="V276" s="10">
        <f>SUM(Table67676972751421263138[[#This Row],[Bus ]:[Wheelchair]])</f>
        <v>35</v>
      </c>
    </row>
    <row r="277" spans="2:22" ht="19.2" x14ac:dyDescent="0.4">
      <c r="B277" s="8" t="s">
        <v>43</v>
      </c>
      <c r="C277" s="8" t="s">
        <v>72</v>
      </c>
      <c r="D277" s="9">
        <v>0</v>
      </c>
      <c r="E277" s="9">
        <v>2</v>
      </c>
      <c r="F277" s="9">
        <v>0</v>
      </c>
      <c r="G277" s="9">
        <v>0</v>
      </c>
      <c r="H277" s="9">
        <v>0</v>
      </c>
      <c r="I277" s="9">
        <v>2</v>
      </c>
      <c r="J277" s="9">
        <v>0</v>
      </c>
      <c r="K277" s="10">
        <f>SUM(Table676771741320252737[[#This Row],[Bus ]:[Wheelchair]])</f>
        <v>4</v>
      </c>
      <c r="M277" s="8" t="s">
        <v>170</v>
      </c>
      <c r="N277" s="8" t="s">
        <v>72</v>
      </c>
      <c r="O277" s="9">
        <v>0</v>
      </c>
      <c r="P277" s="9">
        <v>1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0">
        <f>SUM(Table67676972751421263138[[#This Row],[Bus ]:[Wheelchair]])</f>
        <v>1</v>
      </c>
    </row>
    <row r="278" spans="2:22" ht="19.2" x14ac:dyDescent="0.4">
      <c r="B278" s="8" t="s">
        <v>44</v>
      </c>
      <c r="C278" s="8" t="s">
        <v>72</v>
      </c>
      <c r="D278" s="9">
        <v>0</v>
      </c>
      <c r="E278" s="9">
        <v>6</v>
      </c>
      <c r="F278" s="9">
        <v>8</v>
      </c>
      <c r="G278" s="9">
        <v>0</v>
      </c>
      <c r="H278" s="9">
        <v>0</v>
      </c>
      <c r="I278" s="9">
        <v>2</v>
      </c>
      <c r="J278" s="9">
        <v>0</v>
      </c>
      <c r="K278" s="10">
        <f>SUM(Table676771741320252737[[#This Row],[Bus ]:[Wheelchair]])</f>
        <v>16</v>
      </c>
      <c r="M278" s="8" t="s">
        <v>43</v>
      </c>
      <c r="N278" s="8" t="s">
        <v>72</v>
      </c>
      <c r="O278" s="9">
        <v>0</v>
      </c>
      <c r="P278" s="9">
        <v>61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0">
        <f>SUM(Table67676972751421263138[[#This Row],[Bus ]:[Wheelchair]])</f>
        <v>61</v>
      </c>
    </row>
    <row r="279" spans="2:22" ht="19.2" x14ac:dyDescent="0.4">
      <c r="B279" s="8" t="s">
        <v>33</v>
      </c>
      <c r="C279" s="8" t="s">
        <v>74</v>
      </c>
      <c r="D279" s="9">
        <v>0</v>
      </c>
      <c r="E279" s="9">
        <v>1</v>
      </c>
      <c r="F279" s="9">
        <v>1</v>
      </c>
      <c r="G279" s="9">
        <v>0</v>
      </c>
      <c r="H279" s="9">
        <v>0</v>
      </c>
      <c r="I279" s="9">
        <v>0</v>
      </c>
      <c r="J279" s="9">
        <v>0</v>
      </c>
      <c r="K279" s="10">
        <f>SUM(Table676771741320252737[[#This Row],[Bus ]:[Wheelchair]])</f>
        <v>2</v>
      </c>
      <c r="M279" s="8" t="s">
        <v>44</v>
      </c>
      <c r="N279" s="8" t="s">
        <v>72</v>
      </c>
      <c r="O279" s="9">
        <v>3</v>
      </c>
      <c r="P279" s="9">
        <v>14</v>
      </c>
      <c r="Q279" s="9">
        <v>5</v>
      </c>
      <c r="R279" s="9">
        <v>0</v>
      </c>
      <c r="S279" s="9">
        <v>0</v>
      </c>
      <c r="T279" s="9">
        <v>1</v>
      </c>
      <c r="U279" s="9">
        <v>0</v>
      </c>
      <c r="V279" s="10">
        <f>SUM(Table67676972751421263138[[#This Row],[Bus ]:[Wheelchair]])</f>
        <v>23</v>
      </c>
    </row>
    <row r="280" spans="2:22" ht="19.2" x14ac:dyDescent="0.4">
      <c r="B280" s="8" t="s">
        <v>38</v>
      </c>
      <c r="C280" s="8" t="s">
        <v>74</v>
      </c>
      <c r="D280" s="9">
        <v>0</v>
      </c>
      <c r="E280" s="9">
        <v>4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10">
        <f>SUM(Table676771741320252737[[#This Row],[Bus ]:[Wheelchair]])</f>
        <v>4</v>
      </c>
      <c r="M280" s="8" t="s">
        <v>171</v>
      </c>
      <c r="N280" s="8" t="s">
        <v>72</v>
      </c>
      <c r="O280" s="9">
        <v>0</v>
      </c>
      <c r="P280" s="9">
        <v>2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0">
        <f>SUM(Table67676972751421263138[[#This Row],[Bus ]:[Wheelchair]])</f>
        <v>2</v>
      </c>
    </row>
    <row r="281" spans="2:22" ht="19.2" x14ac:dyDescent="0.4">
      <c r="B281" s="8" t="s">
        <v>105</v>
      </c>
      <c r="C281" s="8" t="s">
        <v>74</v>
      </c>
      <c r="D281" s="9">
        <v>0</v>
      </c>
      <c r="E281" s="9">
        <v>13</v>
      </c>
      <c r="F281" s="9">
        <v>2</v>
      </c>
      <c r="G281" s="9">
        <v>0</v>
      </c>
      <c r="H281" s="9">
        <v>0</v>
      </c>
      <c r="I281" s="9">
        <v>0</v>
      </c>
      <c r="J281" s="9">
        <v>0</v>
      </c>
      <c r="K281" s="10">
        <f>SUM(Table676771741320252737[[#This Row],[Bus ]:[Wheelchair]])</f>
        <v>15</v>
      </c>
      <c r="M281" s="8" t="s">
        <v>33</v>
      </c>
      <c r="N281" s="8" t="s">
        <v>74</v>
      </c>
      <c r="O281" s="9">
        <v>0</v>
      </c>
      <c r="P281" s="9">
        <v>4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0">
        <f>SUM(Table67676972751421263138[[#This Row],[Bus ]:[Wheelchair]])</f>
        <v>4</v>
      </c>
    </row>
    <row r="282" spans="2:22" ht="19.2" x14ac:dyDescent="0.4">
      <c r="B282" s="8" t="s">
        <v>172</v>
      </c>
      <c r="C282" s="8" t="s">
        <v>74</v>
      </c>
      <c r="D282" s="9">
        <v>0</v>
      </c>
      <c r="E282" s="9">
        <v>0</v>
      </c>
      <c r="F282" s="9">
        <v>1</v>
      </c>
      <c r="G282" s="9">
        <v>0</v>
      </c>
      <c r="H282" s="9">
        <v>0</v>
      </c>
      <c r="I282" s="9">
        <v>0</v>
      </c>
      <c r="J282" s="9">
        <v>3</v>
      </c>
      <c r="K282" s="10">
        <f>SUM(Table676771741320252737[[#This Row],[Bus ]:[Wheelchair]])</f>
        <v>4</v>
      </c>
      <c r="M282" s="8" t="s">
        <v>38</v>
      </c>
      <c r="N282" s="8" t="s">
        <v>74</v>
      </c>
      <c r="O282" s="9">
        <v>0</v>
      </c>
      <c r="P282" s="9">
        <v>1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0">
        <f>SUM(Table67676972751421263138[[#This Row],[Bus ]:[Wheelchair]])</f>
        <v>1</v>
      </c>
    </row>
    <row r="283" spans="2:22" ht="19.2" x14ac:dyDescent="0.4">
      <c r="B283" s="8" t="s">
        <v>42</v>
      </c>
      <c r="C283" s="8" t="s">
        <v>74</v>
      </c>
      <c r="D283" s="9">
        <v>0</v>
      </c>
      <c r="E283" s="9">
        <v>94</v>
      </c>
      <c r="F283" s="9">
        <v>24</v>
      </c>
      <c r="G283" s="9">
        <v>2</v>
      </c>
      <c r="H283" s="9">
        <v>2</v>
      </c>
      <c r="I283" s="9">
        <v>24</v>
      </c>
      <c r="J283" s="9">
        <v>0</v>
      </c>
      <c r="K283" s="10">
        <f>SUM(Table676771741320252737[[#This Row],[Bus ]:[Wheelchair]])</f>
        <v>146</v>
      </c>
      <c r="M283" s="8" t="s">
        <v>42</v>
      </c>
      <c r="N283" s="8" t="s">
        <v>74</v>
      </c>
      <c r="O283" s="9">
        <v>0</v>
      </c>
      <c r="P283" s="9">
        <v>16</v>
      </c>
      <c r="Q283" s="9">
        <v>12</v>
      </c>
      <c r="R283" s="9">
        <v>0</v>
      </c>
      <c r="S283" s="9">
        <v>0</v>
      </c>
      <c r="T283" s="9">
        <v>4</v>
      </c>
      <c r="U283" s="9">
        <v>5</v>
      </c>
      <c r="V283" s="10">
        <f>SUM(Table67676972751421263138[[#This Row],[Bus ]:[Wheelchair]])</f>
        <v>37</v>
      </c>
    </row>
    <row r="284" spans="2:22" ht="19.2" x14ac:dyDescent="0.4">
      <c r="B284" s="8" t="s">
        <v>75</v>
      </c>
      <c r="C284" s="8" t="s">
        <v>74</v>
      </c>
      <c r="D284" s="9">
        <v>0</v>
      </c>
      <c r="E284" s="9">
        <v>3</v>
      </c>
      <c r="F284" s="9">
        <v>0</v>
      </c>
      <c r="G284" s="9">
        <v>0</v>
      </c>
      <c r="H284" s="9">
        <v>0</v>
      </c>
      <c r="I284" s="9">
        <v>1</v>
      </c>
      <c r="J284" s="9">
        <v>0</v>
      </c>
      <c r="K284" s="10">
        <f>SUM(Table676771741320252737[[#This Row],[Bus ]:[Wheelchair]])</f>
        <v>4</v>
      </c>
      <c r="M284" s="8" t="s">
        <v>52</v>
      </c>
      <c r="N284" s="8" t="s">
        <v>74</v>
      </c>
      <c r="O284" s="9">
        <v>0</v>
      </c>
      <c r="P284" s="9">
        <v>4</v>
      </c>
      <c r="Q284" s="9">
        <v>1</v>
      </c>
      <c r="R284" s="9">
        <v>0</v>
      </c>
      <c r="S284" s="9">
        <v>0</v>
      </c>
      <c r="T284" s="9">
        <v>0</v>
      </c>
      <c r="U284" s="9">
        <v>0</v>
      </c>
      <c r="V284" s="10">
        <f>SUM(Table67676972751421263138[[#This Row],[Bus ]:[Wheelchair]])</f>
        <v>5</v>
      </c>
    </row>
    <row r="285" spans="2:22" ht="19.2" x14ac:dyDescent="0.4">
      <c r="B285" s="8" t="s">
        <v>51</v>
      </c>
      <c r="C285" s="8" t="s">
        <v>74</v>
      </c>
      <c r="D285" s="9">
        <v>0</v>
      </c>
      <c r="E285" s="9">
        <v>20</v>
      </c>
      <c r="F285" s="9">
        <v>0</v>
      </c>
      <c r="G285" s="9">
        <v>0</v>
      </c>
      <c r="H285" s="9">
        <v>0</v>
      </c>
      <c r="I285" s="9">
        <v>3</v>
      </c>
      <c r="J285" s="9">
        <v>0</v>
      </c>
      <c r="K285" s="10">
        <f>SUM(Table676771741320252737[[#This Row],[Bus ]:[Wheelchair]])</f>
        <v>23</v>
      </c>
      <c r="M285" s="8" t="s">
        <v>56</v>
      </c>
      <c r="N285" s="8" t="s">
        <v>74</v>
      </c>
      <c r="O285" s="9">
        <v>0</v>
      </c>
      <c r="P285" s="9">
        <v>4</v>
      </c>
      <c r="Q285" s="9">
        <v>9</v>
      </c>
      <c r="R285" s="9">
        <v>0</v>
      </c>
      <c r="S285" s="9">
        <v>0</v>
      </c>
      <c r="T285" s="9">
        <v>0</v>
      </c>
      <c r="U285" s="9">
        <v>0</v>
      </c>
      <c r="V285" s="10">
        <f>SUM(Table67676972751421263138[[#This Row],[Bus ]:[Wheelchair]])</f>
        <v>13</v>
      </c>
    </row>
    <row r="286" spans="2:22" ht="19.2" x14ac:dyDescent="0.4">
      <c r="B286" s="8" t="s">
        <v>52</v>
      </c>
      <c r="C286" s="8" t="s">
        <v>74</v>
      </c>
      <c r="D286" s="9">
        <v>0</v>
      </c>
      <c r="E286" s="9">
        <v>2</v>
      </c>
      <c r="F286" s="9">
        <v>2</v>
      </c>
      <c r="G286" s="9">
        <v>0</v>
      </c>
      <c r="H286" s="9">
        <v>0</v>
      </c>
      <c r="I286" s="9">
        <v>0</v>
      </c>
      <c r="J286" s="9">
        <v>0</v>
      </c>
      <c r="K286" s="10">
        <f>SUM(Table676771741320252737[[#This Row],[Bus ]:[Wheelchair]])</f>
        <v>4</v>
      </c>
      <c r="M286" s="8" t="s">
        <v>57</v>
      </c>
      <c r="N286" s="8" t="s">
        <v>74</v>
      </c>
      <c r="O286" s="9">
        <v>0</v>
      </c>
      <c r="P286" s="9">
        <v>0</v>
      </c>
      <c r="Q286" s="9">
        <v>1</v>
      </c>
      <c r="R286" s="9">
        <v>0</v>
      </c>
      <c r="S286" s="9">
        <v>0</v>
      </c>
      <c r="T286" s="9">
        <v>0</v>
      </c>
      <c r="U286" s="9">
        <v>0</v>
      </c>
      <c r="V286" s="10">
        <f>SUM(Table67676972751421263138[[#This Row],[Bus ]:[Wheelchair]])</f>
        <v>1</v>
      </c>
    </row>
    <row r="287" spans="2:22" ht="19.2" x14ac:dyDescent="0.4">
      <c r="B287" s="8" t="s">
        <v>56</v>
      </c>
      <c r="C287" s="8" t="s">
        <v>74</v>
      </c>
      <c r="D287" s="9">
        <v>0</v>
      </c>
      <c r="E287" s="9">
        <v>2</v>
      </c>
      <c r="F287" s="9">
        <v>2</v>
      </c>
      <c r="G287" s="9">
        <v>0</v>
      </c>
      <c r="H287" s="9">
        <v>0</v>
      </c>
      <c r="I287" s="9">
        <v>2</v>
      </c>
      <c r="J287" s="9">
        <v>0</v>
      </c>
      <c r="K287" s="10">
        <f>SUM(Table676771741320252737[[#This Row],[Bus ]:[Wheelchair]])</f>
        <v>6</v>
      </c>
      <c r="M287" s="8" t="s">
        <v>131</v>
      </c>
      <c r="N287" s="8" t="s">
        <v>74</v>
      </c>
      <c r="O287" s="9">
        <v>0</v>
      </c>
      <c r="P287" s="9">
        <v>2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0">
        <f>SUM(Table67676972751421263138[[#This Row],[Bus ]:[Wheelchair]])</f>
        <v>2</v>
      </c>
    </row>
    <row r="288" spans="2:22" ht="19.2" x14ac:dyDescent="0.4">
      <c r="B288" s="8" t="s">
        <v>131</v>
      </c>
      <c r="C288" s="8" t="s">
        <v>74</v>
      </c>
      <c r="D288" s="9">
        <v>0</v>
      </c>
      <c r="E288" s="9">
        <v>1</v>
      </c>
      <c r="F288" s="9">
        <v>0</v>
      </c>
      <c r="G288" s="9">
        <v>0</v>
      </c>
      <c r="H288" s="9">
        <v>0</v>
      </c>
      <c r="I288" s="9">
        <v>0</v>
      </c>
      <c r="J288" s="9">
        <v>0</v>
      </c>
      <c r="K288" s="10">
        <f>SUM(Table676771741320252737[[#This Row],[Bus ]:[Wheelchair]])</f>
        <v>1</v>
      </c>
      <c r="M288" s="8" t="s">
        <v>59</v>
      </c>
      <c r="N288" s="8" t="s">
        <v>74</v>
      </c>
      <c r="O288" s="9">
        <v>0</v>
      </c>
      <c r="P288" s="9">
        <v>2</v>
      </c>
      <c r="Q288" s="9">
        <v>2</v>
      </c>
      <c r="R288" s="9">
        <v>0</v>
      </c>
      <c r="S288" s="9">
        <v>0</v>
      </c>
      <c r="T288" s="9">
        <v>1</v>
      </c>
      <c r="U288" s="9">
        <v>0</v>
      </c>
      <c r="V288" s="10">
        <f>SUM(Table67676972751421263138[[#This Row],[Bus ]:[Wheelchair]])</f>
        <v>5</v>
      </c>
    </row>
    <row r="289" spans="2:22" ht="19.2" x14ac:dyDescent="0.4">
      <c r="B289" s="8" t="s">
        <v>59</v>
      </c>
      <c r="C289" s="8" t="s">
        <v>74</v>
      </c>
      <c r="D289" s="9">
        <v>0</v>
      </c>
      <c r="E289" s="9">
        <v>1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10">
        <f>SUM(Table676771741320252737[[#This Row],[Bus ]:[Wheelchair]])</f>
        <v>1</v>
      </c>
      <c r="M289" s="8" t="s">
        <v>60</v>
      </c>
      <c r="N289" s="8" t="s">
        <v>74</v>
      </c>
      <c r="O289" s="9">
        <v>0</v>
      </c>
      <c r="P289" s="9">
        <v>13</v>
      </c>
      <c r="Q289" s="9">
        <v>10</v>
      </c>
      <c r="R289" s="9">
        <v>0</v>
      </c>
      <c r="S289" s="9">
        <v>1</v>
      </c>
      <c r="T289" s="9">
        <v>1</v>
      </c>
      <c r="U289" s="9">
        <v>0</v>
      </c>
      <c r="V289" s="10">
        <f>SUM(Table67676972751421263138[[#This Row],[Bus ]:[Wheelchair]])</f>
        <v>25</v>
      </c>
    </row>
    <row r="290" spans="2:22" ht="19.2" x14ac:dyDescent="0.4">
      <c r="B290" s="8" t="s">
        <v>60</v>
      </c>
      <c r="C290" s="8" t="s">
        <v>74</v>
      </c>
      <c r="D290" s="9">
        <v>0</v>
      </c>
      <c r="E290" s="9">
        <v>18</v>
      </c>
      <c r="F290" s="9">
        <v>12</v>
      </c>
      <c r="G290" s="9">
        <v>0</v>
      </c>
      <c r="H290" s="9">
        <v>0</v>
      </c>
      <c r="I290" s="9">
        <v>6</v>
      </c>
      <c r="J290" s="9">
        <v>0</v>
      </c>
      <c r="K290" s="10">
        <f>SUM(Table676771741320252737[[#This Row],[Bus ]:[Wheelchair]])</f>
        <v>36</v>
      </c>
      <c r="M290" s="8" t="s">
        <v>112</v>
      </c>
      <c r="N290" s="8" t="s">
        <v>78</v>
      </c>
      <c r="O290" s="9">
        <v>0</v>
      </c>
      <c r="P290" s="9">
        <v>1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0">
        <f>SUM(Table67676972751421263138[[#This Row],[Bus ]:[Wheelchair]])</f>
        <v>1</v>
      </c>
    </row>
    <row r="291" spans="2:22" ht="19.2" x14ac:dyDescent="0.4">
      <c r="B291" s="8" t="s">
        <v>39</v>
      </c>
      <c r="C291" s="8" t="s">
        <v>79</v>
      </c>
      <c r="D291" s="9">
        <v>0</v>
      </c>
      <c r="E291" s="9">
        <v>2</v>
      </c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10">
        <f>SUM(Table676771741320252737[[#This Row],[Bus ]:[Wheelchair]])</f>
        <v>2</v>
      </c>
      <c r="M291" s="8" t="s">
        <v>113</v>
      </c>
      <c r="N291" s="8" t="s">
        <v>78</v>
      </c>
      <c r="O291" s="9">
        <v>0</v>
      </c>
      <c r="P291" s="9">
        <v>1</v>
      </c>
      <c r="Q291" s="9">
        <v>2</v>
      </c>
      <c r="R291" s="9">
        <v>0</v>
      </c>
      <c r="S291" s="9">
        <v>0</v>
      </c>
      <c r="T291" s="9">
        <v>1</v>
      </c>
      <c r="U291" s="9">
        <v>0</v>
      </c>
      <c r="V291" s="10">
        <f>SUM(Table67676972751421263138[[#This Row],[Bus ]:[Wheelchair]])</f>
        <v>4</v>
      </c>
    </row>
    <row r="292" spans="2:22" ht="19.2" x14ac:dyDescent="0.4">
      <c r="B292" s="8" t="s">
        <v>63</v>
      </c>
      <c r="C292" s="8" t="s">
        <v>79</v>
      </c>
      <c r="D292" s="9">
        <v>0</v>
      </c>
      <c r="E292" s="9">
        <v>2</v>
      </c>
      <c r="F292" s="9">
        <v>3</v>
      </c>
      <c r="G292" s="9">
        <v>0</v>
      </c>
      <c r="H292" s="9">
        <v>0</v>
      </c>
      <c r="I292" s="9">
        <v>0</v>
      </c>
      <c r="J292" s="9">
        <v>0</v>
      </c>
      <c r="K292" s="10">
        <f>SUM(Table676771741320252737[[#This Row],[Bus ]:[Wheelchair]])</f>
        <v>5</v>
      </c>
      <c r="M292" s="8" t="s">
        <v>40</v>
      </c>
      <c r="N292" s="8" t="s">
        <v>79</v>
      </c>
      <c r="O292" s="9">
        <v>0</v>
      </c>
      <c r="P292" s="9">
        <v>10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0">
        <f>SUM(Table67676972751421263138[[#This Row],[Bus ]:[Wheelchair]])</f>
        <v>10</v>
      </c>
    </row>
    <row r="293" spans="2:22" ht="19.2" x14ac:dyDescent="0.4">
      <c r="B293" s="8" t="s">
        <v>32</v>
      </c>
      <c r="C293" s="8" t="s">
        <v>87</v>
      </c>
      <c r="D293" s="9">
        <v>0</v>
      </c>
      <c r="E293" s="9">
        <v>5</v>
      </c>
      <c r="F293" s="9">
        <v>15</v>
      </c>
      <c r="G293" s="9">
        <v>0</v>
      </c>
      <c r="H293" s="9">
        <v>0</v>
      </c>
      <c r="I293" s="9">
        <v>0</v>
      </c>
      <c r="J293" s="9">
        <v>0</v>
      </c>
      <c r="K293" s="10">
        <f>SUM(Table676771741320252737[[#This Row],[Bus ]:[Wheelchair]])</f>
        <v>20</v>
      </c>
      <c r="M293" s="8" t="s">
        <v>63</v>
      </c>
      <c r="N293" s="8" t="s">
        <v>79</v>
      </c>
      <c r="O293" s="9">
        <v>0</v>
      </c>
      <c r="P293" s="9">
        <v>2</v>
      </c>
      <c r="Q293" s="9">
        <v>3</v>
      </c>
      <c r="R293" s="9">
        <v>0</v>
      </c>
      <c r="S293" s="9">
        <v>2</v>
      </c>
      <c r="T293" s="9">
        <v>0</v>
      </c>
      <c r="U293" s="9">
        <v>0</v>
      </c>
      <c r="V293" s="10">
        <f>SUM(Table67676972751421263138[[#This Row],[Bus ]:[Wheelchair]])</f>
        <v>7</v>
      </c>
    </row>
    <row r="294" spans="2:22" ht="19.2" x14ac:dyDescent="0.4">
      <c r="B294" s="8" t="s">
        <v>121</v>
      </c>
      <c r="C294" s="8" t="s">
        <v>114</v>
      </c>
      <c r="D294" s="9">
        <v>0</v>
      </c>
      <c r="E294" s="9">
        <v>5</v>
      </c>
      <c r="F294" s="9">
        <v>1</v>
      </c>
      <c r="G294" s="9">
        <v>0</v>
      </c>
      <c r="H294" s="9">
        <v>0</v>
      </c>
      <c r="I294" s="9">
        <v>0</v>
      </c>
      <c r="J294" s="9">
        <v>0</v>
      </c>
      <c r="K294" s="10">
        <f>SUM(Table676771741320252737[[#This Row],[Bus ]:[Wheelchair]])</f>
        <v>6</v>
      </c>
      <c r="M294" s="8" t="s">
        <v>97</v>
      </c>
      <c r="N294" s="8" t="s">
        <v>81</v>
      </c>
      <c r="O294" s="9">
        <v>0</v>
      </c>
      <c r="P294" s="9">
        <v>0</v>
      </c>
      <c r="Q294" s="9">
        <v>2</v>
      </c>
      <c r="R294" s="9">
        <v>0</v>
      </c>
      <c r="S294" s="9">
        <v>0</v>
      </c>
      <c r="T294" s="9">
        <v>0</v>
      </c>
      <c r="U294" s="9">
        <v>0</v>
      </c>
      <c r="V294" s="10">
        <f>SUM(Table67676972751421263138[[#This Row],[Bus ]:[Wheelchair]])</f>
        <v>2</v>
      </c>
    </row>
    <row r="295" spans="2:22" ht="19.2" x14ac:dyDescent="0.4">
      <c r="B295" s="8" t="s">
        <v>62</v>
      </c>
      <c r="C295" s="8" t="s">
        <v>128</v>
      </c>
      <c r="D295" s="9">
        <v>0</v>
      </c>
      <c r="E295" s="9">
        <v>2</v>
      </c>
      <c r="F295" s="9">
        <v>1</v>
      </c>
      <c r="G295" s="9">
        <v>0</v>
      </c>
      <c r="H295" s="9">
        <v>0</v>
      </c>
      <c r="I295" s="9">
        <v>0</v>
      </c>
      <c r="J295" s="9">
        <v>0</v>
      </c>
      <c r="K295" s="10">
        <f>SUM(Table676771741320252737[[#This Row],[Bus ]:[Wheelchair]])</f>
        <v>3</v>
      </c>
      <c r="M295" s="8" t="s">
        <v>174</v>
      </c>
      <c r="N295" s="8" t="s">
        <v>173</v>
      </c>
      <c r="O295" s="9">
        <v>0</v>
      </c>
      <c r="P295" s="9">
        <v>0</v>
      </c>
      <c r="Q295" s="9">
        <v>2</v>
      </c>
      <c r="R295" s="9">
        <v>0</v>
      </c>
      <c r="S295" s="9">
        <v>0</v>
      </c>
      <c r="T295" s="9">
        <v>0</v>
      </c>
      <c r="U295" s="9">
        <v>0</v>
      </c>
      <c r="V295" s="10">
        <f>SUM(Table67676972751421263138[[#This Row],[Bus ]:[Wheelchair]])</f>
        <v>2</v>
      </c>
    </row>
    <row r="296" spans="2:22" ht="19.2" x14ac:dyDescent="0.4">
      <c r="B296" s="8" t="s">
        <v>36</v>
      </c>
      <c r="C296" s="8" t="s">
        <v>92</v>
      </c>
      <c r="D296" s="9">
        <v>0</v>
      </c>
      <c r="E296" s="9">
        <v>0</v>
      </c>
      <c r="F296" s="9">
        <v>5</v>
      </c>
      <c r="G296" s="9">
        <v>0</v>
      </c>
      <c r="H296" s="9">
        <v>0</v>
      </c>
      <c r="I296" s="9">
        <v>0</v>
      </c>
      <c r="J296" s="9">
        <v>0</v>
      </c>
      <c r="K296" s="10">
        <f>SUM(Table676771741320252737[[#This Row],[Bus ]:[Wheelchair]])</f>
        <v>5</v>
      </c>
      <c r="M296" s="8" t="s">
        <v>32</v>
      </c>
      <c r="N296" s="8" t="s">
        <v>87</v>
      </c>
      <c r="O296" s="9">
        <v>0</v>
      </c>
      <c r="P296" s="9">
        <v>1</v>
      </c>
      <c r="Q296" s="9">
        <v>13</v>
      </c>
      <c r="R296" s="9">
        <v>0</v>
      </c>
      <c r="S296" s="9">
        <v>2</v>
      </c>
      <c r="T296" s="9">
        <v>0</v>
      </c>
      <c r="U296" s="9">
        <v>0</v>
      </c>
      <c r="V296" s="10">
        <f>SUM(Table67676972751421263138[[#This Row],[Bus ]:[Wheelchair]])</f>
        <v>16</v>
      </c>
    </row>
    <row r="297" spans="2:22" ht="19.2" x14ac:dyDescent="0.4">
      <c r="B297" s="8" t="s">
        <v>101</v>
      </c>
      <c r="C297" s="8" t="s">
        <v>92</v>
      </c>
      <c r="D297" s="9">
        <v>0</v>
      </c>
      <c r="E297" s="9">
        <v>0</v>
      </c>
      <c r="F297" s="9">
        <v>2</v>
      </c>
      <c r="G297" s="9">
        <v>0</v>
      </c>
      <c r="H297" s="9">
        <v>0</v>
      </c>
      <c r="I297" s="9">
        <v>0</v>
      </c>
      <c r="J297" s="9">
        <v>0</v>
      </c>
      <c r="K297" s="10">
        <f>SUM(Table676771741320252737[[#This Row],[Bus ]:[Wheelchair]])</f>
        <v>2</v>
      </c>
      <c r="M297" s="8" t="s">
        <v>175</v>
      </c>
      <c r="N297" s="8" t="s">
        <v>151</v>
      </c>
      <c r="O297" s="9">
        <v>0</v>
      </c>
      <c r="P297" s="9">
        <v>2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0">
        <f>SUM(Table67676972751421263138[[#This Row],[Bus ]:[Wheelchair]])</f>
        <v>2</v>
      </c>
    </row>
    <row r="298" spans="2:22" ht="19.2" x14ac:dyDescent="0.4">
      <c r="B298" s="8" t="s">
        <v>55</v>
      </c>
      <c r="C298" s="8" t="s">
        <v>92</v>
      </c>
      <c r="D298" s="9">
        <v>0</v>
      </c>
      <c r="E298" s="9">
        <v>75</v>
      </c>
      <c r="F298" s="9">
        <v>85</v>
      </c>
      <c r="G298" s="9">
        <v>3</v>
      </c>
      <c r="H298" s="9">
        <v>0</v>
      </c>
      <c r="I298" s="9">
        <v>31</v>
      </c>
      <c r="J298" s="9">
        <v>12</v>
      </c>
      <c r="K298" s="10">
        <f>SUM(Table676771741320252737[[#This Row],[Bus ]:[Wheelchair]])</f>
        <v>206</v>
      </c>
      <c r="M298" s="8" t="s">
        <v>132</v>
      </c>
      <c r="N298" s="8" t="s">
        <v>115</v>
      </c>
      <c r="O298" s="9">
        <v>0</v>
      </c>
      <c r="P298" s="9">
        <v>0</v>
      </c>
      <c r="Q298" s="9">
        <v>3</v>
      </c>
      <c r="R298" s="9">
        <v>0</v>
      </c>
      <c r="S298" s="9">
        <v>0</v>
      </c>
      <c r="T298" s="9">
        <v>0</v>
      </c>
      <c r="U298" s="9">
        <v>0</v>
      </c>
      <c r="V298" s="10">
        <f>SUM(Table67676972751421263138[[#This Row],[Bus ]:[Wheelchair]])</f>
        <v>3</v>
      </c>
    </row>
    <row r="299" spans="2:22" ht="19.2" x14ac:dyDescent="0.4">
      <c r="B299" s="8" t="s">
        <v>61</v>
      </c>
      <c r="C299" s="8" t="s">
        <v>92</v>
      </c>
      <c r="D299" s="9">
        <v>0</v>
      </c>
      <c r="E299" s="9">
        <v>2</v>
      </c>
      <c r="F299" s="9">
        <v>0</v>
      </c>
      <c r="G299" s="9">
        <v>0</v>
      </c>
      <c r="H299" s="9">
        <v>0</v>
      </c>
      <c r="I299" s="9">
        <v>0</v>
      </c>
      <c r="J299" s="9">
        <v>0</v>
      </c>
      <c r="K299" s="10">
        <f>SUM(Table676771741320252737[[#This Row],[Bus ]:[Wheelchair]])</f>
        <v>2</v>
      </c>
      <c r="M299" s="8" t="s">
        <v>36</v>
      </c>
      <c r="N299" s="8" t="s">
        <v>92</v>
      </c>
      <c r="O299" s="9">
        <v>0</v>
      </c>
      <c r="P299" s="9">
        <v>0</v>
      </c>
      <c r="Q299" s="9">
        <v>1</v>
      </c>
      <c r="R299" s="9">
        <v>0</v>
      </c>
      <c r="S299" s="9">
        <v>0</v>
      </c>
      <c r="T299" s="9">
        <v>0</v>
      </c>
      <c r="U299" s="9">
        <v>0</v>
      </c>
      <c r="V299" s="10">
        <f>SUM(Table67676972751421263138[[#This Row],[Bus ]:[Wheelchair]])</f>
        <v>1</v>
      </c>
    </row>
    <row r="300" spans="2:22" ht="19.2" x14ac:dyDescent="0.4">
      <c r="B300" s="8" t="s">
        <v>65</v>
      </c>
      <c r="C300" s="8" t="s">
        <v>92</v>
      </c>
      <c r="D300" s="9">
        <v>0</v>
      </c>
      <c r="E300" s="9">
        <v>1</v>
      </c>
      <c r="F300" s="9">
        <v>1</v>
      </c>
      <c r="G300" s="9">
        <v>0</v>
      </c>
      <c r="H300" s="9">
        <v>0</v>
      </c>
      <c r="I300" s="9">
        <v>5</v>
      </c>
      <c r="J300" s="9">
        <v>0</v>
      </c>
      <c r="K300" s="10">
        <f>SUM(Table676771741320252737[[#This Row],[Bus ]:[Wheelchair]])</f>
        <v>7</v>
      </c>
      <c r="M300" s="8" t="s">
        <v>101</v>
      </c>
      <c r="N300" s="8" t="s">
        <v>92</v>
      </c>
      <c r="O300" s="9">
        <v>0</v>
      </c>
      <c r="P300" s="9">
        <v>1</v>
      </c>
      <c r="Q300" s="9">
        <v>1</v>
      </c>
      <c r="R300" s="9">
        <v>0</v>
      </c>
      <c r="S300" s="9">
        <v>0</v>
      </c>
      <c r="T300" s="9">
        <v>0</v>
      </c>
      <c r="U300" s="9">
        <v>0</v>
      </c>
      <c r="V300" s="10">
        <f>SUM(Table67676972751421263138[[#This Row],[Bus ]:[Wheelchair]])</f>
        <v>2</v>
      </c>
    </row>
    <row r="301" spans="2:22" ht="19.2" x14ac:dyDescent="0.4">
      <c r="B301" s="8" t="s">
        <v>66</v>
      </c>
      <c r="C301" s="8" t="s">
        <v>92</v>
      </c>
      <c r="D301" s="9">
        <v>0</v>
      </c>
      <c r="E301" s="9">
        <v>6</v>
      </c>
      <c r="F301" s="9">
        <v>11</v>
      </c>
      <c r="G301" s="9">
        <v>0</v>
      </c>
      <c r="H301" s="9">
        <v>0</v>
      </c>
      <c r="I301" s="9">
        <v>0</v>
      </c>
      <c r="J301" s="9">
        <v>0</v>
      </c>
      <c r="K301" s="10">
        <f>SUM(Table676771741320252737[[#This Row],[Bus ]:[Wheelchair]])</f>
        <v>17</v>
      </c>
      <c r="M301" s="8" t="s">
        <v>55</v>
      </c>
      <c r="N301" s="8" t="s">
        <v>92</v>
      </c>
      <c r="O301" s="9">
        <v>0</v>
      </c>
      <c r="P301" s="9">
        <v>123</v>
      </c>
      <c r="Q301" s="9">
        <v>42</v>
      </c>
      <c r="R301" s="9">
        <v>0</v>
      </c>
      <c r="S301" s="9">
        <v>1</v>
      </c>
      <c r="T301" s="9">
        <v>12</v>
      </c>
      <c r="U301" s="9">
        <v>15</v>
      </c>
      <c r="V301" s="10">
        <f>SUM(Table67676972751421263138[[#This Row],[Bus ]:[Wheelchair]])</f>
        <v>193</v>
      </c>
    </row>
    <row r="302" spans="2:22" ht="19.2" x14ac:dyDescent="0.4">
      <c r="B302" s="8" t="s">
        <v>136</v>
      </c>
      <c r="C302" s="8" t="s">
        <v>133</v>
      </c>
      <c r="D302" s="9">
        <v>0</v>
      </c>
      <c r="E302" s="9">
        <v>0</v>
      </c>
      <c r="F302" s="9">
        <v>1</v>
      </c>
      <c r="G302" s="9">
        <v>0</v>
      </c>
      <c r="H302" s="9">
        <v>0</v>
      </c>
      <c r="I302" s="9">
        <v>0</v>
      </c>
      <c r="J302" s="9">
        <v>0</v>
      </c>
      <c r="K302" s="10">
        <f>SUM(Table676771741320252737[[#This Row],[Bus ]:[Wheelchair]])</f>
        <v>1</v>
      </c>
      <c r="M302" s="8" t="s">
        <v>135</v>
      </c>
      <c r="N302" s="8" t="s">
        <v>92</v>
      </c>
      <c r="O302" s="9">
        <v>0</v>
      </c>
      <c r="P302" s="9">
        <v>0</v>
      </c>
      <c r="Q302" s="9">
        <v>1</v>
      </c>
      <c r="R302" s="9">
        <v>0</v>
      </c>
      <c r="S302" s="9">
        <v>0</v>
      </c>
      <c r="T302" s="9">
        <v>0</v>
      </c>
      <c r="U302" s="9">
        <v>0</v>
      </c>
      <c r="V302" s="10">
        <f>SUM(Table67676972751421263138[[#This Row],[Bus ]:[Wheelchair]])</f>
        <v>1</v>
      </c>
    </row>
    <row r="303" spans="2:22" ht="20.399999999999999" x14ac:dyDescent="0.4">
      <c r="B303" s="27" t="s">
        <v>20</v>
      </c>
      <c r="C303" s="27"/>
      <c r="D303" s="28">
        <f>SUBTOTAL(109,Table676771741320252737[[Bus ]])</f>
        <v>0</v>
      </c>
      <c r="E303" s="28">
        <f>SUBTOTAL(109,Table676771741320252737[Cab])</f>
        <v>267</v>
      </c>
      <c r="F303" s="28">
        <f>SUBTOTAL(109,Table676771741320252737[GMR])</f>
        <v>177</v>
      </c>
      <c r="G303" s="28">
        <f>SUBTOTAL(109,Table676771741320252737[Public Entity])</f>
        <v>5</v>
      </c>
      <c r="H303" s="28">
        <f>SUBTOTAL(109,Table676771741320252737[Stretcher])</f>
        <v>2</v>
      </c>
      <c r="I303" s="28">
        <f>SUBTOTAL(109,Table676771741320252737[TNC Vendor])</f>
        <v>76</v>
      </c>
      <c r="J303" s="28">
        <f>SUBTOTAL(109,Table676771741320252737[Wheelchair])</f>
        <v>15</v>
      </c>
      <c r="K303" s="28">
        <f>SUBTOTAL(109,Table676771741320252737[Total])</f>
        <v>542</v>
      </c>
      <c r="M303" s="8" t="s">
        <v>61</v>
      </c>
      <c r="N303" s="8" t="s">
        <v>92</v>
      </c>
      <c r="O303" s="9">
        <v>0</v>
      </c>
      <c r="P303" s="9">
        <v>2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0">
        <f>SUM(Table67676972751421263138[[#This Row],[Bus ]:[Wheelchair]])</f>
        <v>2</v>
      </c>
    </row>
    <row r="304" spans="2:22" ht="19.2" x14ac:dyDescent="0.4">
      <c r="M304" s="8" t="s">
        <v>65</v>
      </c>
      <c r="N304" s="8" t="s">
        <v>92</v>
      </c>
      <c r="O304" s="9">
        <v>0</v>
      </c>
      <c r="P304" s="9">
        <v>14</v>
      </c>
      <c r="Q304" s="9">
        <v>4</v>
      </c>
      <c r="R304" s="9">
        <v>0</v>
      </c>
      <c r="S304" s="9">
        <v>0</v>
      </c>
      <c r="T304" s="9">
        <v>2</v>
      </c>
      <c r="U304" s="9">
        <v>0</v>
      </c>
      <c r="V304" s="10">
        <f>SUM(Table67676972751421263138[[#This Row],[Bus ]:[Wheelchair]])</f>
        <v>20</v>
      </c>
    </row>
    <row r="305" spans="2:22" ht="19.2" x14ac:dyDescent="0.4">
      <c r="M305" s="8" t="s">
        <v>66</v>
      </c>
      <c r="N305" s="8" t="s">
        <v>92</v>
      </c>
      <c r="O305" s="9">
        <v>0</v>
      </c>
      <c r="P305" s="9">
        <v>10</v>
      </c>
      <c r="Q305" s="9">
        <v>20</v>
      </c>
      <c r="R305" s="9">
        <v>0</v>
      </c>
      <c r="S305" s="9">
        <v>0</v>
      </c>
      <c r="T305" s="9">
        <v>0</v>
      </c>
      <c r="U305" s="9">
        <v>0</v>
      </c>
      <c r="V305" s="10">
        <f>SUM(Table67676972751421263138[[#This Row],[Bus ]:[Wheelchair]])</f>
        <v>30</v>
      </c>
    </row>
    <row r="306" spans="2:22" ht="19.2" x14ac:dyDescent="0.4">
      <c r="M306" s="8" t="s">
        <v>147</v>
      </c>
      <c r="N306" s="8" t="s">
        <v>93</v>
      </c>
      <c r="O306" s="9">
        <v>0</v>
      </c>
      <c r="P306" s="9">
        <v>0</v>
      </c>
      <c r="Q306" s="9">
        <v>2</v>
      </c>
      <c r="R306" s="9">
        <v>0</v>
      </c>
      <c r="S306" s="9">
        <v>0</v>
      </c>
      <c r="T306" s="9">
        <v>0</v>
      </c>
      <c r="U306" s="9">
        <v>0</v>
      </c>
      <c r="V306" s="10">
        <f>SUM(Table67676972751421263138[[#This Row],[Bus ]:[Wheelchair]])</f>
        <v>2</v>
      </c>
    </row>
    <row r="307" spans="2:22" ht="20.399999999999999" x14ac:dyDescent="0.4">
      <c r="M307" s="31" t="s">
        <v>20</v>
      </c>
      <c r="N307" s="31"/>
      <c r="O307" s="32">
        <f>SUBTOTAL(109,Table67676972751421263138[[Bus ]])</f>
        <v>3</v>
      </c>
      <c r="P307" s="32">
        <f>SUBTOTAL(109,Table67676972751421263138[Cab])</f>
        <v>291</v>
      </c>
      <c r="Q307" s="32">
        <f>SUBTOTAL(109,Table67676972751421263138[GMR])</f>
        <v>136</v>
      </c>
      <c r="R307" s="32">
        <f>SUBTOTAL(109,Table67676972751421263138[Public Entity])</f>
        <v>0</v>
      </c>
      <c r="S307" s="32">
        <f>SUBTOTAL(109,Table67676972751421263138[Stretcher])</f>
        <v>6</v>
      </c>
      <c r="T307" s="32">
        <f>SUBTOTAL(109,Table67676972751421263138[TNC Vendor])</f>
        <v>22</v>
      </c>
      <c r="U307" s="32">
        <f>SUBTOTAL(109,Table67676972751421263138[Wheelchair])</f>
        <v>20</v>
      </c>
      <c r="V307" s="32">
        <f>SUBTOTAL(109,Table67676972751421263138[Total])</f>
        <v>478</v>
      </c>
    </row>
    <row r="308" spans="2:22" x14ac:dyDescent="0.4">
      <c r="V308" s="12"/>
    </row>
    <row r="309" spans="2:22" x14ac:dyDescent="0.4">
      <c r="V309" s="12"/>
    </row>
    <row r="310" spans="2:22" ht="19.2" x14ac:dyDescent="0.45">
      <c r="B310" s="38">
        <v>45536</v>
      </c>
      <c r="C310" s="38"/>
      <c r="D310" s="38"/>
      <c r="E310" s="39" t="s">
        <v>22</v>
      </c>
      <c r="F310" s="39"/>
      <c r="G310" s="39"/>
      <c r="H310" s="39"/>
      <c r="I310" s="39"/>
      <c r="J310" s="39"/>
      <c r="K310" s="39"/>
      <c r="L310" s="1"/>
      <c r="M310" s="40">
        <v>45901</v>
      </c>
      <c r="N310" s="40"/>
      <c r="O310" s="40"/>
      <c r="P310" s="41" t="s">
        <v>22</v>
      </c>
      <c r="Q310" s="41"/>
      <c r="R310" s="41"/>
      <c r="S310" s="41"/>
      <c r="T310" s="41"/>
      <c r="U310" s="41"/>
      <c r="V310" s="41"/>
    </row>
    <row r="311" spans="2:22" ht="19.2" x14ac:dyDescent="0.45">
      <c r="B311" s="38"/>
      <c r="C311" s="38"/>
      <c r="D311" s="38"/>
      <c r="E311" s="39"/>
      <c r="F311" s="39"/>
      <c r="G311" s="39"/>
      <c r="H311" s="39"/>
      <c r="I311" s="39"/>
      <c r="J311" s="39"/>
      <c r="K311" s="39"/>
      <c r="L311" s="1"/>
      <c r="M311" s="40"/>
      <c r="N311" s="40"/>
      <c r="O311" s="40"/>
      <c r="P311" s="41"/>
      <c r="Q311" s="41"/>
      <c r="R311" s="41"/>
      <c r="S311" s="41"/>
      <c r="T311" s="41"/>
      <c r="U311" s="41"/>
      <c r="V311" s="41"/>
    </row>
    <row r="312" spans="2:22" ht="20.399999999999999" x14ac:dyDescent="0.45">
      <c r="B312" s="3" t="s">
        <v>23</v>
      </c>
      <c r="C312" s="3" t="s">
        <v>68</v>
      </c>
      <c r="D312" s="4" t="s">
        <v>25</v>
      </c>
      <c r="E312" s="4" t="s">
        <v>0</v>
      </c>
      <c r="F312" s="4" t="s">
        <v>26</v>
      </c>
      <c r="G312" s="4" t="s">
        <v>27</v>
      </c>
      <c r="H312" s="4" t="s">
        <v>1</v>
      </c>
      <c r="I312" s="4" t="s">
        <v>2</v>
      </c>
      <c r="J312" s="4" t="s">
        <v>3</v>
      </c>
      <c r="K312" s="4" t="s">
        <v>20</v>
      </c>
      <c r="L312" s="5"/>
      <c r="M312" s="6" t="s">
        <v>23</v>
      </c>
      <c r="N312" s="6" t="s">
        <v>68</v>
      </c>
      <c r="O312" s="7" t="s">
        <v>25</v>
      </c>
      <c r="P312" s="7" t="s">
        <v>0</v>
      </c>
      <c r="Q312" s="7" t="s">
        <v>26</v>
      </c>
      <c r="R312" s="7" t="s">
        <v>27</v>
      </c>
      <c r="S312" s="7" t="s">
        <v>1</v>
      </c>
      <c r="T312" s="7" t="s">
        <v>2</v>
      </c>
      <c r="U312" s="7" t="s">
        <v>3</v>
      </c>
      <c r="V312" s="7" t="s">
        <v>20</v>
      </c>
    </row>
    <row r="313" spans="2:22" ht="19.2" hidden="1" x14ac:dyDescent="0.4">
      <c r="B313" s="8" t="s">
        <v>64</v>
      </c>
      <c r="C313" s="8" t="s">
        <v>69</v>
      </c>
      <c r="D313" s="9">
        <v>0</v>
      </c>
      <c r="E313" s="9">
        <v>0</v>
      </c>
      <c r="F313" s="9">
        <v>4</v>
      </c>
      <c r="G313" s="9">
        <v>0</v>
      </c>
      <c r="H313" s="9">
        <v>0</v>
      </c>
      <c r="I313" s="9">
        <v>0</v>
      </c>
      <c r="J313" s="9">
        <v>0</v>
      </c>
      <c r="K313" s="10">
        <f>SUM(Table67677174132025273747[[#This Row],[Bus ]:[Wheelchair]])</f>
        <v>4</v>
      </c>
      <c r="M313" s="8" t="s">
        <v>64</v>
      </c>
      <c r="N313" s="8" t="s">
        <v>69</v>
      </c>
      <c r="O313" s="9">
        <v>0</v>
      </c>
      <c r="P313" s="9">
        <v>0</v>
      </c>
      <c r="Q313" s="9">
        <v>1</v>
      </c>
      <c r="R313" s="9">
        <v>20</v>
      </c>
      <c r="S313" s="9">
        <v>0</v>
      </c>
      <c r="T313" s="9">
        <v>0</v>
      </c>
      <c r="U313" s="9">
        <v>0</v>
      </c>
      <c r="V313" s="10">
        <f>SUM(Table6767697275142126313848[[#This Row],[Bus ]:[Wheelchair]])</f>
        <v>21</v>
      </c>
    </row>
    <row r="314" spans="2:22" ht="19.2" x14ac:dyDescent="0.4">
      <c r="B314" s="8" t="s">
        <v>43</v>
      </c>
      <c r="C314" s="8" t="s">
        <v>72</v>
      </c>
      <c r="D314" s="9">
        <v>0</v>
      </c>
      <c r="E314" s="9">
        <v>4</v>
      </c>
      <c r="F314" s="9">
        <v>4</v>
      </c>
      <c r="G314" s="9">
        <v>0</v>
      </c>
      <c r="H314" s="9">
        <v>0</v>
      </c>
      <c r="I314" s="9">
        <v>4</v>
      </c>
      <c r="J314" s="9">
        <v>0</v>
      </c>
      <c r="K314" s="10">
        <f>SUM(Table67677174132025273747[[#This Row],[Bus ]:[Wheelchair]])</f>
        <v>12</v>
      </c>
      <c r="M314" s="8" t="s">
        <v>170</v>
      </c>
      <c r="N314" s="8" t="s">
        <v>72</v>
      </c>
      <c r="O314" s="9">
        <v>0</v>
      </c>
      <c r="P314" s="9">
        <v>2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0">
        <f>SUM(Table6767697275142126313848[[#This Row],[Bus ]:[Wheelchair]])</f>
        <v>2</v>
      </c>
    </row>
    <row r="315" spans="2:22" ht="19.2" x14ac:dyDescent="0.4">
      <c r="B315" s="8" t="s">
        <v>44</v>
      </c>
      <c r="C315" s="8" t="s">
        <v>72</v>
      </c>
      <c r="D315" s="9">
        <v>0</v>
      </c>
      <c r="E315" s="9">
        <v>10</v>
      </c>
      <c r="F315" s="9">
        <v>10</v>
      </c>
      <c r="G315" s="9">
        <v>0</v>
      </c>
      <c r="H315" s="9">
        <v>0</v>
      </c>
      <c r="I315" s="9">
        <v>5</v>
      </c>
      <c r="J315" s="9">
        <v>0</v>
      </c>
      <c r="K315" s="10">
        <f>SUM(Table67677174132025273747[[#This Row],[Bus ]:[Wheelchair]])</f>
        <v>25</v>
      </c>
      <c r="M315" s="8" t="s">
        <v>43</v>
      </c>
      <c r="N315" s="8" t="s">
        <v>72</v>
      </c>
      <c r="O315" s="9">
        <v>0</v>
      </c>
      <c r="P315" s="9">
        <v>66</v>
      </c>
      <c r="Q315" s="9">
        <v>0</v>
      </c>
      <c r="R315" s="9">
        <v>0</v>
      </c>
      <c r="S315" s="9">
        <v>0</v>
      </c>
      <c r="T315" s="9">
        <v>0</v>
      </c>
      <c r="U315" s="9">
        <v>2</v>
      </c>
      <c r="V315" s="10">
        <f>SUM(Table6767697275142126313848[[#This Row],[Bus ]:[Wheelchair]])</f>
        <v>68</v>
      </c>
    </row>
    <row r="316" spans="2:22" ht="19.2" x14ac:dyDescent="0.4">
      <c r="B316" s="8" t="s">
        <v>125</v>
      </c>
      <c r="C316" s="8" t="s">
        <v>72</v>
      </c>
      <c r="D316" s="9">
        <v>0</v>
      </c>
      <c r="E316" s="9">
        <v>1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10">
        <f>SUM(Table67677174132025273747[[#This Row],[Bus ]:[Wheelchair]])</f>
        <v>1</v>
      </c>
      <c r="M316" s="8" t="s">
        <v>44</v>
      </c>
      <c r="N316" s="8" t="s">
        <v>72</v>
      </c>
      <c r="O316" s="9">
        <v>1</v>
      </c>
      <c r="P316" s="9">
        <v>7</v>
      </c>
      <c r="Q316" s="9">
        <v>6</v>
      </c>
      <c r="R316" s="9">
        <v>0</v>
      </c>
      <c r="S316" s="9">
        <v>0</v>
      </c>
      <c r="T316" s="9">
        <v>0</v>
      </c>
      <c r="U316" s="9">
        <v>0</v>
      </c>
      <c r="V316" s="10">
        <f>SUM(Table6767697275142126313848[[#This Row],[Bus ]:[Wheelchair]])</f>
        <v>14</v>
      </c>
    </row>
    <row r="317" spans="2:22" ht="19.2" x14ac:dyDescent="0.4">
      <c r="B317" s="8" t="s">
        <v>38</v>
      </c>
      <c r="C317" s="8" t="s">
        <v>74</v>
      </c>
      <c r="D317" s="9">
        <v>0</v>
      </c>
      <c r="E317" s="9">
        <v>3</v>
      </c>
      <c r="F317" s="9">
        <v>0</v>
      </c>
      <c r="G317" s="9">
        <v>0</v>
      </c>
      <c r="H317" s="9">
        <v>0</v>
      </c>
      <c r="I317" s="9">
        <v>0</v>
      </c>
      <c r="J317" s="9">
        <v>0</v>
      </c>
      <c r="K317" s="10">
        <f>SUM(Table67677174132025273747[[#This Row],[Bus ]:[Wheelchair]])</f>
        <v>3</v>
      </c>
      <c r="M317" s="8" t="s">
        <v>125</v>
      </c>
      <c r="N317" s="8" t="s">
        <v>72</v>
      </c>
      <c r="O317" s="9">
        <v>0</v>
      </c>
      <c r="P317" s="9">
        <v>3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0">
        <f>SUM(Table6767697275142126313848[[#This Row],[Bus ]:[Wheelchair]])</f>
        <v>3</v>
      </c>
    </row>
    <row r="318" spans="2:22" ht="19.2" x14ac:dyDescent="0.4">
      <c r="B318" s="8" t="s">
        <v>105</v>
      </c>
      <c r="C318" s="8" t="s">
        <v>74</v>
      </c>
      <c r="D318" s="9">
        <v>0</v>
      </c>
      <c r="E318" s="9">
        <v>12</v>
      </c>
      <c r="F318" s="9">
        <v>2</v>
      </c>
      <c r="G318" s="9">
        <v>0</v>
      </c>
      <c r="H318" s="9">
        <v>0</v>
      </c>
      <c r="I318" s="9">
        <v>0</v>
      </c>
      <c r="J318" s="9">
        <v>0</v>
      </c>
      <c r="K318" s="10">
        <f>SUM(Table67677174132025273747[[#This Row],[Bus ]:[Wheelchair]])</f>
        <v>14</v>
      </c>
      <c r="M318" s="8" t="s">
        <v>38</v>
      </c>
      <c r="N318" s="8" t="s">
        <v>74</v>
      </c>
      <c r="O318" s="9">
        <v>0</v>
      </c>
      <c r="P318" s="9">
        <v>5</v>
      </c>
      <c r="Q318" s="9">
        <v>1</v>
      </c>
      <c r="R318" s="9">
        <v>0</v>
      </c>
      <c r="S318" s="9">
        <v>0</v>
      </c>
      <c r="T318" s="9">
        <v>0</v>
      </c>
      <c r="U318" s="9">
        <v>0</v>
      </c>
      <c r="V318" s="10">
        <f>SUM(Table6767697275142126313848[[#This Row],[Bus ]:[Wheelchair]])</f>
        <v>6</v>
      </c>
    </row>
    <row r="319" spans="2:22" ht="19.2" x14ac:dyDescent="0.4">
      <c r="B319" s="8" t="s">
        <v>42</v>
      </c>
      <c r="C319" s="8" t="s">
        <v>74</v>
      </c>
      <c r="D319" s="9">
        <v>0</v>
      </c>
      <c r="E319" s="9">
        <v>38</v>
      </c>
      <c r="F319" s="9">
        <v>10</v>
      </c>
      <c r="G319" s="9">
        <v>0</v>
      </c>
      <c r="H319" s="9">
        <v>0</v>
      </c>
      <c r="I319" s="9">
        <v>7</v>
      </c>
      <c r="J319" s="9">
        <v>0</v>
      </c>
      <c r="K319" s="10">
        <f>SUM(Table67677174132025273747[[#This Row],[Bus ]:[Wheelchair]])</f>
        <v>55</v>
      </c>
      <c r="M319" s="8" t="s">
        <v>105</v>
      </c>
      <c r="N319" s="8" t="s">
        <v>74</v>
      </c>
      <c r="O319" s="9">
        <v>0</v>
      </c>
      <c r="P319" s="9">
        <v>1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0">
        <f>SUM(Table6767697275142126313848[[#This Row],[Bus ]:[Wheelchair]])</f>
        <v>1</v>
      </c>
    </row>
    <row r="320" spans="2:22" ht="19.2" x14ac:dyDescent="0.4">
      <c r="B320" s="8" t="s">
        <v>75</v>
      </c>
      <c r="C320" s="8" t="s">
        <v>74</v>
      </c>
      <c r="D320" s="9">
        <v>0</v>
      </c>
      <c r="E320" s="9">
        <v>0</v>
      </c>
      <c r="F320" s="9">
        <v>15</v>
      </c>
      <c r="G320" s="9">
        <v>0</v>
      </c>
      <c r="H320" s="9">
        <v>0</v>
      </c>
      <c r="I320" s="9">
        <v>0</v>
      </c>
      <c r="J320" s="9">
        <v>0</v>
      </c>
      <c r="K320" s="10">
        <f>SUM(Table67677174132025273747[[#This Row],[Bus ]:[Wheelchair]])</f>
        <v>15</v>
      </c>
      <c r="M320" s="8" t="s">
        <v>148</v>
      </c>
      <c r="N320" s="8" t="s">
        <v>74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1</v>
      </c>
      <c r="V320" s="10">
        <f>SUM(Table6767697275142126313848[[#This Row],[Bus ]:[Wheelchair]])</f>
        <v>1</v>
      </c>
    </row>
    <row r="321" spans="2:22" ht="19.2" x14ac:dyDescent="0.4">
      <c r="B321" s="8" t="s">
        <v>76</v>
      </c>
      <c r="C321" s="8" t="s">
        <v>74</v>
      </c>
      <c r="D321" s="9">
        <v>0</v>
      </c>
      <c r="E321" s="9">
        <v>0</v>
      </c>
      <c r="F321" s="9">
        <v>3</v>
      </c>
      <c r="G321" s="9">
        <v>2</v>
      </c>
      <c r="H321" s="9">
        <v>0</v>
      </c>
      <c r="I321" s="9">
        <v>1</v>
      </c>
      <c r="J321" s="9">
        <v>0</v>
      </c>
      <c r="K321" s="10">
        <f>SUM(Table67677174132025273747[[#This Row],[Bus ]:[Wheelchair]])</f>
        <v>6</v>
      </c>
      <c r="M321" s="8" t="s">
        <v>42</v>
      </c>
      <c r="N321" s="8" t="s">
        <v>74</v>
      </c>
      <c r="O321" s="9">
        <v>0</v>
      </c>
      <c r="P321" s="9">
        <v>33</v>
      </c>
      <c r="Q321" s="9">
        <v>5</v>
      </c>
      <c r="R321" s="9">
        <v>2</v>
      </c>
      <c r="S321" s="9">
        <v>3</v>
      </c>
      <c r="T321" s="9">
        <v>1</v>
      </c>
      <c r="U321" s="9">
        <v>4</v>
      </c>
      <c r="V321" s="10">
        <f>SUM(Table6767697275142126313848[[#This Row],[Bus ]:[Wheelchair]])</f>
        <v>48</v>
      </c>
    </row>
    <row r="322" spans="2:22" ht="19.2" x14ac:dyDescent="0.4">
      <c r="B322" s="8" t="s">
        <v>51</v>
      </c>
      <c r="C322" s="8" t="s">
        <v>74</v>
      </c>
      <c r="D322" s="9">
        <v>0</v>
      </c>
      <c r="E322" s="9">
        <v>0</v>
      </c>
      <c r="F322" s="9">
        <v>1</v>
      </c>
      <c r="G322" s="9">
        <v>2</v>
      </c>
      <c r="H322" s="9">
        <v>0</v>
      </c>
      <c r="I322" s="9">
        <v>0</v>
      </c>
      <c r="J322" s="9">
        <v>0</v>
      </c>
      <c r="K322" s="10">
        <f>SUM(Table67677174132025273747[[#This Row],[Bus ]:[Wheelchair]])</f>
        <v>3</v>
      </c>
      <c r="M322" s="8" t="s">
        <v>76</v>
      </c>
      <c r="N322" s="8" t="s">
        <v>74</v>
      </c>
      <c r="O322" s="9">
        <v>0</v>
      </c>
      <c r="P322" s="9">
        <v>2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0">
        <f>SUM(Table6767697275142126313848[[#This Row],[Bus ]:[Wheelchair]])</f>
        <v>2</v>
      </c>
    </row>
    <row r="323" spans="2:22" ht="19.2" x14ac:dyDescent="0.4">
      <c r="B323" s="8" t="s">
        <v>52</v>
      </c>
      <c r="C323" s="8" t="s">
        <v>74</v>
      </c>
      <c r="D323" s="9">
        <v>0</v>
      </c>
      <c r="E323" s="9">
        <v>2</v>
      </c>
      <c r="F323" s="9">
        <v>5</v>
      </c>
      <c r="G323" s="9">
        <v>0</v>
      </c>
      <c r="H323" s="9">
        <v>0</v>
      </c>
      <c r="I323" s="9">
        <v>0</v>
      </c>
      <c r="J323" s="9">
        <v>1</v>
      </c>
      <c r="K323" s="10">
        <f>SUM(Table67677174132025273747[[#This Row],[Bus ]:[Wheelchair]])</f>
        <v>8</v>
      </c>
      <c r="M323" s="8" t="s">
        <v>52</v>
      </c>
      <c r="N323" s="8" t="s">
        <v>74</v>
      </c>
      <c r="O323" s="9">
        <v>0</v>
      </c>
      <c r="P323" s="9">
        <v>3</v>
      </c>
      <c r="Q323" s="9">
        <v>2</v>
      </c>
      <c r="R323" s="9">
        <v>0</v>
      </c>
      <c r="S323" s="9">
        <v>0</v>
      </c>
      <c r="T323" s="9">
        <v>0</v>
      </c>
      <c r="U323" s="9">
        <v>0</v>
      </c>
      <c r="V323" s="10">
        <f>SUM(Table6767697275142126313848[[#This Row],[Bus ]:[Wheelchair]])</f>
        <v>5</v>
      </c>
    </row>
    <row r="324" spans="2:22" ht="19.2" x14ac:dyDescent="0.4">
      <c r="B324" s="8" t="s">
        <v>56</v>
      </c>
      <c r="C324" s="8" t="s">
        <v>74</v>
      </c>
      <c r="D324" s="9">
        <v>0</v>
      </c>
      <c r="E324" s="9">
        <v>0</v>
      </c>
      <c r="F324" s="9">
        <v>1</v>
      </c>
      <c r="G324" s="9">
        <v>0</v>
      </c>
      <c r="H324" s="9">
        <v>0</v>
      </c>
      <c r="I324" s="9">
        <v>0</v>
      </c>
      <c r="J324" s="9">
        <v>0</v>
      </c>
      <c r="K324" s="10">
        <f>SUM(Table67677174132025273747[[#This Row],[Bus ]:[Wheelchair]])</f>
        <v>1</v>
      </c>
      <c r="M324" s="8" t="s">
        <v>56</v>
      </c>
      <c r="N324" s="8" t="s">
        <v>74</v>
      </c>
      <c r="O324" s="9">
        <v>0</v>
      </c>
      <c r="P324" s="9">
        <v>0</v>
      </c>
      <c r="Q324" s="9">
        <v>3</v>
      </c>
      <c r="R324" s="9">
        <v>0</v>
      </c>
      <c r="S324" s="9">
        <v>0</v>
      </c>
      <c r="T324" s="9">
        <v>0</v>
      </c>
      <c r="U324" s="9">
        <v>0</v>
      </c>
      <c r="V324" s="10">
        <f>SUM(Table6767697275142126313848[[#This Row],[Bus ]:[Wheelchair]])</f>
        <v>3</v>
      </c>
    </row>
    <row r="325" spans="2:22" ht="19.2" x14ac:dyDescent="0.4">
      <c r="B325" s="8" t="s">
        <v>59</v>
      </c>
      <c r="C325" s="8" t="s">
        <v>74</v>
      </c>
      <c r="D325" s="9">
        <v>0</v>
      </c>
      <c r="E325" s="9">
        <v>4</v>
      </c>
      <c r="F325" s="9">
        <v>0</v>
      </c>
      <c r="G325" s="9">
        <v>0</v>
      </c>
      <c r="H325" s="9">
        <v>0</v>
      </c>
      <c r="I325" s="9">
        <v>0</v>
      </c>
      <c r="J325" s="9">
        <v>0</v>
      </c>
      <c r="K325" s="10">
        <f>SUM(Table67677174132025273747[[#This Row],[Bus ]:[Wheelchair]])</f>
        <v>4</v>
      </c>
      <c r="M325" s="8" t="s">
        <v>59</v>
      </c>
      <c r="N325" s="8" t="s">
        <v>74</v>
      </c>
      <c r="O325" s="9">
        <v>0</v>
      </c>
      <c r="P325" s="9">
        <v>5</v>
      </c>
      <c r="Q325" s="9">
        <v>1</v>
      </c>
      <c r="R325" s="9">
        <v>0</v>
      </c>
      <c r="S325" s="9">
        <v>0</v>
      </c>
      <c r="T325" s="9">
        <v>1</v>
      </c>
      <c r="U325" s="9">
        <v>0</v>
      </c>
      <c r="V325" s="10">
        <f>SUM(Table6767697275142126313848[[#This Row],[Bus ]:[Wheelchair]])</f>
        <v>7</v>
      </c>
    </row>
    <row r="326" spans="2:22" ht="19.2" x14ac:dyDescent="0.4">
      <c r="B326" s="8" t="s">
        <v>60</v>
      </c>
      <c r="C326" s="8" t="s">
        <v>74</v>
      </c>
      <c r="D326" s="9">
        <v>0</v>
      </c>
      <c r="E326" s="9">
        <v>13</v>
      </c>
      <c r="F326" s="9">
        <v>9</v>
      </c>
      <c r="G326" s="9">
        <v>0</v>
      </c>
      <c r="H326" s="9">
        <v>0</v>
      </c>
      <c r="I326" s="9">
        <v>0</v>
      </c>
      <c r="J326" s="9">
        <v>0</v>
      </c>
      <c r="K326" s="10">
        <f>SUM(Table67677174132025273747[[#This Row],[Bus ]:[Wheelchair]])</f>
        <v>22</v>
      </c>
      <c r="M326" s="8" t="s">
        <v>60</v>
      </c>
      <c r="N326" s="8" t="s">
        <v>74</v>
      </c>
      <c r="O326" s="9">
        <v>0</v>
      </c>
      <c r="P326" s="9">
        <v>6</v>
      </c>
      <c r="Q326" s="9">
        <v>3</v>
      </c>
      <c r="R326" s="9">
        <v>0</v>
      </c>
      <c r="S326" s="9">
        <v>0</v>
      </c>
      <c r="T326" s="9">
        <v>0</v>
      </c>
      <c r="U326" s="9">
        <v>0</v>
      </c>
      <c r="V326" s="10">
        <f>SUM(Table6767697275142126313848[[#This Row],[Bus ]:[Wheelchair]])</f>
        <v>9</v>
      </c>
    </row>
    <row r="327" spans="2:22" ht="19.2" x14ac:dyDescent="0.4">
      <c r="B327" s="8" t="s">
        <v>176</v>
      </c>
      <c r="C327" s="8" t="s">
        <v>74</v>
      </c>
      <c r="D327" s="9">
        <v>0</v>
      </c>
      <c r="E327" s="9">
        <v>0</v>
      </c>
      <c r="F327" s="9">
        <v>15</v>
      </c>
      <c r="G327" s="9">
        <v>0</v>
      </c>
      <c r="H327" s="9">
        <v>0</v>
      </c>
      <c r="I327" s="9">
        <v>0</v>
      </c>
      <c r="J327" s="9">
        <v>0</v>
      </c>
      <c r="K327" s="10">
        <f>SUM(Table67677174132025273747[[#This Row],[Bus ]:[Wheelchair]])</f>
        <v>15</v>
      </c>
      <c r="M327" s="8" t="s">
        <v>40</v>
      </c>
      <c r="N327" s="8" t="s">
        <v>79</v>
      </c>
      <c r="O327" s="9">
        <v>0</v>
      </c>
      <c r="P327" s="9">
        <v>2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0">
        <f>SUM(Table6767697275142126313848[[#This Row],[Bus ]:[Wheelchair]])</f>
        <v>2</v>
      </c>
    </row>
    <row r="328" spans="2:22" ht="19.2" x14ac:dyDescent="0.4">
      <c r="B328" s="8" t="s">
        <v>129</v>
      </c>
      <c r="C328" s="8" t="s">
        <v>78</v>
      </c>
      <c r="D328" s="9">
        <v>0</v>
      </c>
      <c r="E328" s="9">
        <v>0</v>
      </c>
      <c r="F328" s="9">
        <v>1</v>
      </c>
      <c r="G328" s="9">
        <v>0</v>
      </c>
      <c r="H328" s="9">
        <v>0</v>
      </c>
      <c r="I328" s="9">
        <v>0</v>
      </c>
      <c r="J328" s="9">
        <v>0</v>
      </c>
      <c r="K328" s="10">
        <f>SUM(Table67677174132025273747[[#This Row],[Bus ]:[Wheelchair]])</f>
        <v>1</v>
      </c>
      <c r="M328" s="8" t="s">
        <v>63</v>
      </c>
      <c r="N328" s="8" t="s">
        <v>79</v>
      </c>
      <c r="O328" s="9">
        <v>0</v>
      </c>
      <c r="P328" s="9">
        <v>0</v>
      </c>
      <c r="Q328" s="9">
        <v>3</v>
      </c>
      <c r="R328" s="9">
        <v>0</v>
      </c>
      <c r="S328" s="9">
        <v>0</v>
      </c>
      <c r="T328" s="9">
        <v>0</v>
      </c>
      <c r="U328" s="9">
        <v>0</v>
      </c>
      <c r="V328" s="10">
        <f>SUM(Table6767697275142126313848[[#This Row],[Bus ]:[Wheelchair]])</f>
        <v>3</v>
      </c>
    </row>
    <row r="329" spans="2:22" ht="19.2" x14ac:dyDescent="0.4">
      <c r="B329" s="8" t="s">
        <v>39</v>
      </c>
      <c r="C329" s="8" t="s">
        <v>79</v>
      </c>
      <c r="D329" s="9">
        <v>0</v>
      </c>
      <c r="E329" s="9">
        <v>1</v>
      </c>
      <c r="F329" s="9">
        <v>0</v>
      </c>
      <c r="G329" s="9">
        <v>0</v>
      </c>
      <c r="H329" s="9">
        <v>0</v>
      </c>
      <c r="I329" s="9">
        <v>1</v>
      </c>
      <c r="J329" s="9">
        <v>0</v>
      </c>
      <c r="K329" s="10">
        <f>SUM(Table67677174132025273747[[#This Row],[Bus ]:[Wheelchair]])</f>
        <v>2</v>
      </c>
      <c r="M329" s="8" t="s">
        <v>97</v>
      </c>
      <c r="N329" s="8" t="s">
        <v>81</v>
      </c>
      <c r="O329" s="9">
        <v>0</v>
      </c>
      <c r="P329" s="9">
        <v>0</v>
      </c>
      <c r="Q329" s="9">
        <v>2</v>
      </c>
      <c r="R329" s="9">
        <v>0</v>
      </c>
      <c r="S329" s="9">
        <v>0</v>
      </c>
      <c r="T329" s="9">
        <v>0</v>
      </c>
      <c r="U329" s="9">
        <v>0</v>
      </c>
      <c r="V329" s="10">
        <f>SUM(Table6767697275142126313848[[#This Row],[Bus ]:[Wheelchair]])</f>
        <v>2</v>
      </c>
    </row>
    <row r="330" spans="2:22" ht="19.2" x14ac:dyDescent="0.4">
      <c r="B330" s="8" t="s">
        <v>63</v>
      </c>
      <c r="C330" s="8" t="s">
        <v>79</v>
      </c>
      <c r="D330" s="9">
        <v>0</v>
      </c>
      <c r="E330" s="9">
        <v>1</v>
      </c>
      <c r="F330" s="9">
        <v>3</v>
      </c>
      <c r="G330" s="9">
        <v>0</v>
      </c>
      <c r="H330" s="9">
        <v>0</v>
      </c>
      <c r="I330" s="9">
        <v>0</v>
      </c>
      <c r="J330" s="9">
        <v>0</v>
      </c>
      <c r="K330" s="10">
        <f>SUM(Table67677174132025273747[[#This Row],[Bus ]:[Wheelchair]])</f>
        <v>4</v>
      </c>
      <c r="M330" s="8" t="s">
        <v>177</v>
      </c>
      <c r="N330" s="8" t="s">
        <v>149</v>
      </c>
      <c r="O330" s="9">
        <v>0</v>
      </c>
      <c r="P330" s="9">
        <v>1</v>
      </c>
      <c r="Q330" s="9">
        <v>0</v>
      </c>
      <c r="R330" s="9">
        <v>0</v>
      </c>
      <c r="S330" s="9">
        <v>0</v>
      </c>
      <c r="T330" s="9">
        <v>1</v>
      </c>
      <c r="U330" s="9">
        <v>0</v>
      </c>
      <c r="V330" s="10">
        <f>SUM(Table6767697275142126313848[[#This Row],[Bus ]:[Wheelchair]])</f>
        <v>2</v>
      </c>
    </row>
    <row r="331" spans="2:22" ht="19.2" x14ac:dyDescent="0.4">
      <c r="B331" s="8" t="s">
        <v>178</v>
      </c>
      <c r="C331" s="8" t="s">
        <v>81</v>
      </c>
      <c r="D331" s="9">
        <v>0</v>
      </c>
      <c r="E331" s="9">
        <v>1</v>
      </c>
      <c r="F331" s="9">
        <v>0</v>
      </c>
      <c r="G331" s="9">
        <v>0</v>
      </c>
      <c r="H331" s="9">
        <v>0</v>
      </c>
      <c r="I331" s="9">
        <v>0</v>
      </c>
      <c r="J331" s="9">
        <v>0</v>
      </c>
      <c r="K331" s="10">
        <f>SUM(Table67677174132025273747[[#This Row],[Bus ]:[Wheelchair]])</f>
        <v>1</v>
      </c>
      <c r="M331" s="8" t="s">
        <v>179</v>
      </c>
      <c r="N331" s="8" t="s">
        <v>85</v>
      </c>
      <c r="O331" s="9">
        <v>0</v>
      </c>
      <c r="P331" s="9">
        <v>2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0">
        <f>SUM(Table6767697275142126313848[[#This Row],[Bus ]:[Wheelchair]])</f>
        <v>2</v>
      </c>
    </row>
    <row r="332" spans="2:22" ht="19.2" x14ac:dyDescent="0.4">
      <c r="B332" s="8" t="s">
        <v>180</v>
      </c>
      <c r="C332" s="8" t="s">
        <v>83</v>
      </c>
      <c r="D332" s="9">
        <v>0</v>
      </c>
      <c r="E332" s="9">
        <v>1</v>
      </c>
      <c r="F332" s="9">
        <v>0</v>
      </c>
      <c r="G332" s="9">
        <v>0</v>
      </c>
      <c r="H332" s="9">
        <v>0</v>
      </c>
      <c r="I332" s="9">
        <v>0</v>
      </c>
      <c r="J332" s="9">
        <v>0</v>
      </c>
      <c r="K332" s="10">
        <f>SUM(Table67677174132025273747[[#This Row],[Bus ]:[Wheelchair]])</f>
        <v>1</v>
      </c>
      <c r="M332" s="8" t="s">
        <v>32</v>
      </c>
      <c r="N332" s="8" t="s">
        <v>87</v>
      </c>
      <c r="O332" s="9">
        <v>0</v>
      </c>
      <c r="P332" s="9">
        <v>1</v>
      </c>
      <c r="Q332" s="9">
        <v>13</v>
      </c>
      <c r="R332" s="9">
        <v>0</v>
      </c>
      <c r="S332" s="9">
        <v>0</v>
      </c>
      <c r="T332" s="9">
        <v>0</v>
      </c>
      <c r="U332" s="9">
        <v>0</v>
      </c>
      <c r="V332" s="10">
        <f>SUM(Table6767697275142126313848[[#This Row],[Bus ]:[Wheelchair]])</f>
        <v>14</v>
      </c>
    </row>
    <row r="333" spans="2:22" ht="19.2" x14ac:dyDescent="0.4">
      <c r="B333" s="8" t="s">
        <v>32</v>
      </c>
      <c r="C333" s="8" t="s">
        <v>87</v>
      </c>
      <c r="D333" s="9">
        <v>0</v>
      </c>
      <c r="E333" s="9">
        <v>0</v>
      </c>
      <c r="F333" s="9">
        <v>12</v>
      </c>
      <c r="G333" s="9">
        <v>0</v>
      </c>
      <c r="H333" s="9">
        <v>0</v>
      </c>
      <c r="I333" s="9">
        <v>1</v>
      </c>
      <c r="J333" s="9">
        <v>0</v>
      </c>
      <c r="K333" s="10">
        <f>SUM(Table67677174132025273747[[#This Row],[Bus ]:[Wheelchair]])</f>
        <v>13</v>
      </c>
      <c r="M333" s="8" t="s">
        <v>181</v>
      </c>
      <c r="N333" s="8" t="s">
        <v>128</v>
      </c>
      <c r="O333" s="9">
        <v>0</v>
      </c>
      <c r="P333" s="9">
        <v>20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0">
        <f>SUM(Table6767697275142126313848[[#This Row],[Bus ]:[Wheelchair]])</f>
        <v>20</v>
      </c>
    </row>
    <row r="334" spans="2:22" ht="19.2" x14ac:dyDescent="0.4">
      <c r="B334" s="8" t="s">
        <v>138</v>
      </c>
      <c r="C334" s="8" t="s">
        <v>114</v>
      </c>
      <c r="D334" s="9">
        <v>0</v>
      </c>
      <c r="E334" s="9">
        <v>0</v>
      </c>
      <c r="F334" s="9">
        <v>1</v>
      </c>
      <c r="G334" s="9">
        <v>0</v>
      </c>
      <c r="H334" s="9">
        <v>0</v>
      </c>
      <c r="I334" s="9">
        <v>0</v>
      </c>
      <c r="J334" s="9">
        <v>0</v>
      </c>
      <c r="K334" s="10">
        <f>SUM(Table67677174132025273747[[#This Row],[Bus ]:[Wheelchair]])</f>
        <v>1</v>
      </c>
      <c r="M334" s="8" t="s">
        <v>62</v>
      </c>
      <c r="N334" s="8" t="s">
        <v>128</v>
      </c>
      <c r="O334" s="9">
        <v>0</v>
      </c>
      <c r="P334" s="9">
        <v>3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0">
        <f>SUM(Table6767697275142126313848[[#This Row],[Bus ]:[Wheelchair]])</f>
        <v>3</v>
      </c>
    </row>
    <row r="335" spans="2:22" ht="19.2" x14ac:dyDescent="0.4">
      <c r="B335" s="8" t="s">
        <v>62</v>
      </c>
      <c r="C335" s="8" t="s">
        <v>128</v>
      </c>
      <c r="D335" s="9">
        <v>0</v>
      </c>
      <c r="E335" s="9">
        <v>1</v>
      </c>
      <c r="F335" s="9">
        <v>1</v>
      </c>
      <c r="G335" s="9">
        <v>0</v>
      </c>
      <c r="H335" s="9">
        <v>0</v>
      </c>
      <c r="I335" s="9">
        <v>0</v>
      </c>
      <c r="J335" s="9">
        <v>0</v>
      </c>
      <c r="K335" s="10">
        <f>SUM(Table67677174132025273747[[#This Row],[Bus ]:[Wheelchair]])</f>
        <v>2</v>
      </c>
      <c r="M335" s="8" t="s">
        <v>36</v>
      </c>
      <c r="N335" s="8" t="s">
        <v>92</v>
      </c>
      <c r="O335" s="9">
        <v>0</v>
      </c>
      <c r="P335" s="9">
        <v>0</v>
      </c>
      <c r="Q335" s="9">
        <v>1</v>
      </c>
      <c r="R335" s="9">
        <v>0</v>
      </c>
      <c r="S335" s="9">
        <v>0</v>
      </c>
      <c r="T335" s="9">
        <v>0</v>
      </c>
      <c r="U335" s="9">
        <v>0</v>
      </c>
      <c r="V335" s="10">
        <f>SUM(Table6767697275142126313848[[#This Row],[Bus ]:[Wheelchair]])</f>
        <v>1</v>
      </c>
    </row>
    <row r="336" spans="2:22" ht="19.2" x14ac:dyDescent="0.4">
      <c r="B336" s="8" t="s">
        <v>36</v>
      </c>
      <c r="C336" s="8" t="s">
        <v>92</v>
      </c>
      <c r="D336" s="9">
        <v>0</v>
      </c>
      <c r="E336" s="9">
        <v>4</v>
      </c>
      <c r="F336" s="9">
        <v>1</v>
      </c>
      <c r="G336" s="9">
        <v>0</v>
      </c>
      <c r="H336" s="9">
        <v>0</v>
      </c>
      <c r="I336" s="9">
        <v>0</v>
      </c>
      <c r="J336" s="9">
        <v>0</v>
      </c>
      <c r="K336" s="10">
        <f>SUM(Table67677174132025273747[[#This Row],[Bus ]:[Wheelchair]])</f>
        <v>5</v>
      </c>
      <c r="M336" s="8" t="s">
        <v>55</v>
      </c>
      <c r="N336" s="8" t="s">
        <v>92</v>
      </c>
      <c r="O336" s="9">
        <v>0</v>
      </c>
      <c r="P336" s="9">
        <v>123</v>
      </c>
      <c r="Q336" s="9">
        <v>48</v>
      </c>
      <c r="R336" s="9">
        <v>1</v>
      </c>
      <c r="S336" s="9">
        <v>0</v>
      </c>
      <c r="T336" s="9">
        <v>12</v>
      </c>
      <c r="U336" s="9">
        <v>6</v>
      </c>
      <c r="V336" s="10">
        <f>SUM(Table6767697275142126313848[[#This Row],[Bus ]:[Wheelchair]])</f>
        <v>190</v>
      </c>
    </row>
    <row r="337" spans="2:22" ht="19.2" x14ac:dyDescent="0.4">
      <c r="B337" s="8" t="s">
        <v>55</v>
      </c>
      <c r="C337" s="8" t="s">
        <v>92</v>
      </c>
      <c r="D337" s="9">
        <v>0</v>
      </c>
      <c r="E337" s="9">
        <v>84</v>
      </c>
      <c r="F337" s="9">
        <v>58</v>
      </c>
      <c r="G337" s="9">
        <v>1</v>
      </c>
      <c r="H337" s="9">
        <v>2</v>
      </c>
      <c r="I337" s="9">
        <v>58</v>
      </c>
      <c r="J337" s="9">
        <v>2</v>
      </c>
      <c r="K337" s="10">
        <f>SUM(Table67677174132025273747[[#This Row],[Bus ]:[Wheelchair]])</f>
        <v>205</v>
      </c>
      <c r="M337" s="8" t="s">
        <v>65</v>
      </c>
      <c r="N337" s="8" t="s">
        <v>92</v>
      </c>
      <c r="O337" s="9">
        <v>0</v>
      </c>
      <c r="P337" s="9">
        <v>0</v>
      </c>
      <c r="Q337" s="9">
        <v>2</v>
      </c>
      <c r="R337" s="9">
        <v>0</v>
      </c>
      <c r="S337" s="9">
        <v>0</v>
      </c>
      <c r="T337" s="9">
        <v>0</v>
      </c>
      <c r="U337" s="9">
        <v>0</v>
      </c>
      <c r="V337" s="10">
        <f>SUM(Table6767697275142126313848[[#This Row],[Bus ]:[Wheelchair]])</f>
        <v>2</v>
      </c>
    </row>
    <row r="338" spans="2:22" ht="19.2" x14ac:dyDescent="0.4">
      <c r="B338" s="8" t="s">
        <v>65</v>
      </c>
      <c r="C338" s="8" t="s">
        <v>92</v>
      </c>
      <c r="D338" s="9">
        <v>0</v>
      </c>
      <c r="E338" s="9">
        <v>11</v>
      </c>
      <c r="F338" s="9">
        <v>0</v>
      </c>
      <c r="G338" s="9">
        <v>0</v>
      </c>
      <c r="H338" s="9">
        <v>0</v>
      </c>
      <c r="I338" s="9">
        <v>7</v>
      </c>
      <c r="J338" s="9">
        <v>0</v>
      </c>
      <c r="K338" s="10">
        <f>SUM(Table67677174132025273747[[#This Row],[Bus ]:[Wheelchair]])</f>
        <v>18</v>
      </c>
      <c r="M338" s="8" t="s">
        <v>66</v>
      </c>
      <c r="N338" s="8" t="s">
        <v>92</v>
      </c>
      <c r="O338" s="9">
        <v>0</v>
      </c>
      <c r="P338" s="9">
        <v>0</v>
      </c>
      <c r="Q338" s="9">
        <v>20</v>
      </c>
      <c r="R338" s="9">
        <v>0</v>
      </c>
      <c r="S338" s="9">
        <v>0</v>
      </c>
      <c r="T338" s="9">
        <v>0</v>
      </c>
      <c r="U338" s="9">
        <v>0</v>
      </c>
      <c r="V338" s="10">
        <f>SUM(Table6767697275142126313848[[#This Row],[Bus ]:[Wheelchair]])</f>
        <v>20</v>
      </c>
    </row>
    <row r="339" spans="2:22" ht="19.2" x14ac:dyDescent="0.4">
      <c r="B339" s="8" t="s">
        <v>66</v>
      </c>
      <c r="C339" s="8" t="s">
        <v>92</v>
      </c>
      <c r="D339" s="9">
        <v>0</v>
      </c>
      <c r="E339" s="9">
        <v>0</v>
      </c>
      <c r="F339" s="9">
        <v>8</v>
      </c>
      <c r="G339" s="9">
        <v>0</v>
      </c>
      <c r="H339" s="9">
        <v>0</v>
      </c>
      <c r="I339" s="9">
        <v>2</v>
      </c>
      <c r="J339" s="9">
        <v>0</v>
      </c>
      <c r="K339" s="10">
        <f>SUM(Table67677174132025273747[[#This Row],[Bus ]:[Wheelchair]])</f>
        <v>10</v>
      </c>
      <c r="M339" s="8" t="s">
        <v>136</v>
      </c>
      <c r="N339" s="8" t="s">
        <v>133</v>
      </c>
      <c r="O339" s="9">
        <v>0</v>
      </c>
      <c r="P339" s="9">
        <v>1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0">
        <f>SUM(Table6767697275142126313848[[#This Row],[Bus ]:[Wheelchair]])</f>
        <v>1</v>
      </c>
    </row>
    <row r="340" spans="2:22" ht="20.399999999999999" x14ac:dyDescent="0.4">
      <c r="B340" s="27" t="s">
        <v>20</v>
      </c>
      <c r="C340" s="27"/>
      <c r="D340" s="28">
        <f>SUBTOTAL(109,Table67677174132025273747[[Bus ]])</f>
        <v>0</v>
      </c>
      <c r="E340" s="28">
        <f>SUBTOTAL(109,Table67677174132025273747[Cab])</f>
        <v>191</v>
      </c>
      <c r="F340" s="28">
        <f>SUBTOTAL(109,Table67677174132025273747[GMR])</f>
        <v>160</v>
      </c>
      <c r="G340" s="28">
        <f>SUBTOTAL(109,Table67677174132025273747[Public Entity])</f>
        <v>5</v>
      </c>
      <c r="H340" s="28">
        <f>SUBTOTAL(109,Table67677174132025273747[Stretcher])</f>
        <v>2</v>
      </c>
      <c r="I340" s="28">
        <f>SUBTOTAL(109,Table67677174132025273747[TNC Vendor])</f>
        <v>86</v>
      </c>
      <c r="J340" s="28">
        <f>SUBTOTAL(109,Table67677174132025273747[Wheelchair])</f>
        <v>3</v>
      </c>
      <c r="K340" s="28">
        <f>SUBTOTAL(109,Table67677174132025273747[Total])</f>
        <v>447</v>
      </c>
      <c r="M340" s="31" t="s">
        <v>20</v>
      </c>
      <c r="N340" s="31"/>
      <c r="O340" s="32">
        <f>SUBTOTAL(109,Table6767697275142126313848[[Bus ]])</f>
        <v>1</v>
      </c>
      <c r="P340" s="32">
        <f>SUBTOTAL(109,Table6767697275142126313848[Cab])</f>
        <v>286</v>
      </c>
      <c r="Q340" s="32">
        <f>SUBTOTAL(109,Table6767697275142126313848[GMR])</f>
        <v>110</v>
      </c>
      <c r="R340" s="32">
        <f>SUBTOTAL(109,Table6767697275142126313848[Public Entity])</f>
        <v>3</v>
      </c>
      <c r="S340" s="32">
        <f>SUBTOTAL(109,Table6767697275142126313848[Stretcher])</f>
        <v>3</v>
      </c>
      <c r="T340" s="32">
        <f>SUBTOTAL(109,Table6767697275142126313848[TNC Vendor])</f>
        <v>15</v>
      </c>
      <c r="U340" s="32">
        <f>SUBTOTAL(109,Table6767697275142126313848[Wheelchair])</f>
        <v>13</v>
      </c>
      <c r="V340" s="32">
        <f>SUBTOTAL(109,Table6767697275142126313848[Total])</f>
        <v>431</v>
      </c>
    </row>
    <row r="341" spans="2:22" x14ac:dyDescent="0.4">
      <c r="V341" s="12"/>
    </row>
    <row r="342" spans="2:22" x14ac:dyDescent="0.4">
      <c r="V342" s="12"/>
    </row>
    <row r="343" spans="2:22" ht="19.2" x14ac:dyDescent="0.45">
      <c r="B343" s="38">
        <v>45566</v>
      </c>
      <c r="C343" s="38"/>
      <c r="D343" s="38"/>
      <c r="E343" s="39" t="s">
        <v>22</v>
      </c>
      <c r="F343" s="39"/>
      <c r="G343" s="39"/>
      <c r="H343" s="39"/>
      <c r="I343" s="39"/>
      <c r="J343" s="39"/>
      <c r="K343" s="39"/>
      <c r="L343" s="1"/>
      <c r="M343" s="40">
        <v>45931</v>
      </c>
      <c r="N343" s="40"/>
      <c r="O343" s="40"/>
      <c r="P343" s="41" t="s">
        <v>22</v>
      </c>
      <c r="Q343" s="41"/>
      <c r="R343" s="41"/>
      <c r="S343" s="41"/>
      <c r="T343" s="41"/>
      <c r="U343" s="41"/>
      <c r="V343" s="41"/>
    </row>
    <row r="344" spans="2:22" ht="19.2" x14ac:dyDescent="0.45">
      <c r="B344" s="38"/>
      <c r="C344" s="38"/>
      <c r="D344" s="38"/>
      <c r="E344" s="39"/>
      <c r="F344" s="39"/>
      <c r="G344" s="39"/>
      <c r="H344" s="39"/>
      <c r="I344" s="39"/>
      <c r="J344" s="39"/>
      <c r="K344" s="39"/>
      <c r="L344" s="1"/>
      <c r="M344" s="40"/>
      <c r="N344" s="40"/>
      <c r="O344" s="40"/>
      <c r="P344" s="41"/>
      <c r="Q344" s="41"/>
      <c r="R344" s="41"/>
      <c r="S344" s="41"/>
      <c r="T344" s="41"/>
      <c r="U344" s="41"/>
      <c r="V344" s="41"/>
    </row>
    <row r="345" spans="2:22" ht="20.399999999999999" x14ac:dyDescent="0.45">
      <c r="B345" s="3" t="s">
        <v>23</v>
      </c>
      <c r="C345" s="3" t="s">
        <v>68</v>
      </c>
      <c r="D345" s="4" t="s">
        <v>25</v>
      </c>
      <c r="E345" s="4" t="s">
        <v>0</v>
      </c>
      <c r="F345" s="4" t="s">
        <v>26</v>
      </c>
      <c r="G345" s="4" t="s">
        <v>27</v>
      </c>
      <c r="H345" s="4" t="s">
        <v>1</v>
      </c>
      <c r="I345" s="4" t="s">
        <v>2</v>
      </c>
      <c r="J345" s="4" t="s">
        <v>3</v>
      </c>
      <c r="K345" s="4" t="s">
        <v>20</v>
      </c>
      <c r="L345" s="5"/>
      <c r="M345" s="6" t="s">
        <v>23</v>
      </c>
      <c r="N345" s="6" t="s">
        <v>68</v>
      </c>
      <c r="O345" s="7" t="s">
        <v>25</v>
      </c>
      <c r="P345" s="7" t="s">
        <v>0</v>
      </c>
      <c r="Q345" s="7" t="s">
        <v>26</v>
      </c>
      <c r="R345" s="7" t="s">
        <v>27</v>
      </c>
      <c r="S345" s="7" t="s">
        <v>1</v>
      </c>
      <c r="T345" s="7" t="s">
        <v>2</v>
      </c>
      <c r="U345" s="7" t="s">
        <v>3</v>
      </c>
      <c r="V345" s="7" t="s">
        <v>20</v>
      </c>
    </row>
    <row r="346" spans="2:22" ht="19.2" hidden="1" x14ac:dyDescent="0.4">
      <c r="B346" s="8" t="s">
        <v>64</v>
      </c>
      <c r="C346" s="8" t="s">
        <v>69</v>
      </c>
      <c r="D346" s="9">
        <v>0</v>
      </c>
      <c r="E346" s="9">
        <v>1</v>
      </c>
      <c r="F346" s="9">
        <v>23</v>
      </c>
      <c r="G346" s="9">
        <v>35</v>
      </c>
      <c r="H346" s="9">
        <v>0</v>
      </c>
      <c r="I346" s="9">
        <v>0</v>
      </c>
      <c r="J346" s="9">
        <v>0</v>
      </c>
      <c r="K346" s="10">
        <f>SUM(Table6767717413202527374752[[#This Row],[Bus ]:[Wheelchair]])</f>
        <v>59</v>
      </c>
      <c r="M346" s="8" t="s">
        <v>64</v>
      </c>
      <c r="N346" s="8" t="s">
        <v>69</v>
      </c>
      <c r="O346" s="9">
        <v>699</v>
      </c>
      <c r="P346" s="9">
        <v>6</v>
      </c>
      <c r="Q346" s="9">
        <v>7</v>
      </c>
      <c r="R346" s="9">
        <v>68</v>
      </c>
      <c r="S346" s="9">
        <v>0</v>
      </c>
      <c r="T346" s="9">
        <v>0</v>
      </c>
      <c r="U346" s="9">
        <v>2</v>
      </c>
      <c r="V346" s="10">
        <f>SUM(Table676769727514212631384853[[#This Row],[Bus ]:[Wheelchair]])</f>
        <v>782</v>
      </c>
    </row>
    <row r="347" spans="2:22" ht="19.2" x14ac:dyDescent="0.4">
      <c r="B347" s="8" t="s">
        <v>170</v>
      </c>
      <c r="C347" s="8" t="s">
        <v>72</v>
      </c>
      <c r="D347" s="9">
        <v>0</v>
      </c>
      <c r="E347" s="9">
        <v>1</v>
      </c>
      <c r="F347" s="9">
        <v>0</v>
      </c>
      <c r="G347" s="9">
        <v>0</v>
      </c>
      <c r="H347" s="9">
        <v>0</v>
      </c>
      <c r="I347" s="9">
        <v>2</v>
      </c>
      <c r="J347" s="9">
        <v>0</v>
      </c>
      <c r="K347" s="10">
        <f>SUM(Table6767717413202527374752[[#This Row],[Bus ]:[Wheelchair]])</f>
        <v>3</v>
      </c>
      <c r="M347" s="8" t="s">
        <v>43</v>
      </c>
      <c r="N347" s="8" t="s">
        <v>72</v>
      </c>
      <c r="O347" s="9">
        <v>0</v>
      </c>
      <c r="P347" s="9">
        <v>76</v>
      </c>
      <c r="Q347" s="9">
        <v>0</v>
      </c>
      <c r="R347" s="9">
        <v>1</v>
      </c>
      <c r="S347" s="9">
        <v>0</v>
      </c>
      <c r="T347" s="9">
        <v>2</v>
      </c>
      <c r="U347" s="9">
        <v>0</v>
      </c>
      <c r="V347" s="10">
        <f>SUM(Table676769727514212631384853[[#This Row],[Bus ]:[Wheelchair]])</f>
        <v>79</v>
      </c>
    </row>
    <row r="348" spans="2:22" ht="19.2" x14ac:dyDescent="0.4">
      <c r="B348" s="8" t="s">
        <v>43</v>
      </c>
      <c r="C348" s="8" t="s">
        <v>72</v>
      </c>
      <c r="D348" s="9">
        <v>0</v>
      </c>
      <c r="E348" s="9">
        <v>3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10">
        <f>SUM(Table6767717413202527374752[[#This Row],[Bus ]:[Wheelchair]])</f>
        <v>3</v>
      </c>
      <c r="M348" s="8" t="s">
        <v>44</v>
      </c>
      <c r="N348" s="8" t="s">
        <v>72</v>
      </c>
      <c r="O348" s="9">
        <v>0</v>
      </c>
      <c r="P348" s="9">
        <v>3</v>
      </c>
      <c r="Q348" s="9">
        <v>5</v>
      </c>
      <c r="R348" s="9">
        <v>0</v>
      </c>
      <c r="S348" s="9">
        <v>0</v>
      </c>
      <c r="T348" s="9">
        <v>1</v>
      </c>
      <c r="U348" s="9">
        <v>1</v>
      </c>
      <c r="V348" s="10">
        <f>SUM(Table676769727514212631384853[[#This Row],[Bus ]:[Wheelchair]])</f>
        <v>10</v>
      </c>
    </row>
    <row r="349" spans="2:22" ht="19.2" x14ac:dyDescent="0.4">
      <c r="B349" s="8" t="s">
        <v>44</v>
      </c>
      <c r="C349" s="8" t="s">
        <v>72</v>
      </c>
      <c r="D349" s="9">
        <v>0</v>
      </c>
      <c r="E349" s="9">
        <v>7</v>
      </c>
      <c r="F349" s="9">
        <v>12</v>
      </c>
      <c r="G349" s="9">
        <v>0</v>
      </c>
      <c r="H349" s="9">
        <v>0</v>
      </c>
      <c r="I349" s="9">
        <v>2</v>
      </c>
      <c r="J349" s="9">
        <v>0</v>
      </c>
      <c r="K349" s="10">
        <f>SUM(Table6767717413202527374752[[#This Row],[Bus ]:[Wheelchair]])</f>
        <v>21</v>
      </c>
      <c r="M349" s="8" t="s">
        <v>38</v>
      </c>
      <c r="N349" s="8" t="s">
        <v>74</v>
      </c>
      <c r="O349" s="9">
        <v>0</v>
      </c>
      <c r="P349" s="9">
        <v>7</v>
      </c>
      <c r="Q349" s="9">
        <v>1</v>
      </c>
      <c r="R349" s="9">
        <v>0</v>
      </c>
      <c r="S349" s="9">
        <v>0</v>
      </c>
      <c r="T349" s="9">
        <v>0</v>
      </c>
      <c r="U349" s="9">
        <v>0</v>
      </c>
      <c r="V349" s="10">
        <f>SUM(Table676769727514212631384853[[#This Row],[Bus ]:[Wheelchair]])</f>
        <v>8</v>
      </c>
    </row>
    <row r="350" spans="2:22" ht="19.2" x14ac:dyDescent="0.4">
      <c r="B350" s="8" t="s">
        <v>38</v>
      </c>
      <c r="C350" s="8" t="s">
        <v>74</v>
      </c>
      <c r="D350" s="9">
        <v>0</v>
      </c>
      <c r="E350" s="9">
        <v>5</v>
      </c>
      <c r="F350" s="9">
        <v>1</v>
      </c>
      <c r="G350" s="9">
        <v>0</v>
      </c>
      <c r="H350" s="9">
        <v>0</v>
      </c>
      <c r="I350" s="9">
        <v>0</v>
      </c>
      <c r="J350" s="9">
        <v>0</v>
      </c>
      <c r="K350" s="10">
        <f>SUM(Table6767717413202527374752[[#This Row],[Bus ]:[Wheelchair]])</f>
        <v>6</v>
      </c>
      <c r="M350" s="8" t="s">
        <v>105</v>
      </c>
      <c r="N350" s="8" t="s">
        <v>74</v>
      </c>
      <c r="O350" s="9">
        <v>0</v>
      </c>
      <c r="P350" s="9">
        <v>1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0">
        <f>SUM(Table676769727514212631384853[[#This Row],[Bus ]:[Wheelchair]])</f>
        <v>1</v>
      </c>
    </row>
    <row r="351" spans="2:22" ht="19.2" x14ac:dyDescent="0.4">
      <c r="B351" s="8" t="s">
        <v>105</v>
      </c>
      <c r="C351" s="8" t="s">
        <v>74</v>
      </c>
      <c r="D351" s="9">
        <v>0</v>
      </c>
      <c r="E351" s="9">
        <v>14</v>
      </c>
      <c r="F351" s="9">
        <v>1</v>
      </c>
      <c r="G351" s="9">
        <v>0</v>
      </c>
      <c r="H351" s="9">
        <v>0</v>
      </c>
      <c r="I351" s="9">
        <v>0</v>
      </c>
      <c r="J351" s="9">
        <v>0</v>
      </c>
      <c r="K351" s="10">
        <f>SUM(Table6767717413202527374752[[#This Row],[Bus ]:[Wheelchair]])</f>
        <v>15</v>
      </c>
      <c r="M351" s="8" t="s">
        <v>42</v>
      </c>
      <c r="N351" s="8" t="s">
        <v>74</v>
      </c>
      <c r="O351" s="9">
        <v>0</v>
      </c>
      <c r="P351" s="9">
        <v>61</v>
      </c>
      <c r="Q351" s="9">
        <v>22</v>
      </c>
      <c r="R351" s="9">
        <v>3</v>
      </c>
      <c r="S351" s="9">
        <v>4</v>
      </c>
      <c r="T351" s="9">
        <v>8</v>
      </c>
      <c r="U351" s="9">
        <v>0</v>
      </c>
      <c r="V351" s="10">
        <f>SUM(Table676769727514212631384853[[#This Row],[Bus ]:[Wheelchair]])</f>
        <v>98</v>
      </c>
    </row>
    <row r="352" spans="2:22" ht="19.2" x14ac:dyDescent="0.4">
      <c r="B352" s="8" t="s">
        <v>42</v>
      </c>
      <c r="C352" s="8" t="s">
        <v>74</v>
      </c>
      <c r="D352" s="9">
        <v>0</v>
      </c>
      <c r="E352" s="9">
        <v>95</v>
      </c>
      <c r="F352" s="9">
        <v>18</v>
      </c>
      <c r="G352" s="9">
        <v>2</v>
      </c>
      <c r="H352" s="9">
        <v>0</v>
      </c>
      <c r="I352" s="9">
        <v>9</v>
      </c>
      <c r="J352" s="9">
        <v>0</v>
      </c>
      <c r="K352" s="10">
        <f>SUM(Table6767717413202527374752[[#This Row],[Bus ]:[Wheelchair]])</f>
        <v>124</v>
      </c>
      <c r="M352" s="8" t="s">
        <v>76</v>
      </c>
      <c r="N352" s="8" t="s">
        <v>74</v>
      </c>
      <c r="O352" s="9">
        <v>0</v>
      </c>
      <c r="P352" s="9">
        <v>2</v>
      </c>
      <c r="Q352" s="9">
        <v>0</v>
      </c>
      <c r="R352" s="9">
        <v>0</v>
      </c>
      <c r="S352" s="9">
        <v>0</v>
      </c>
      <c r="T352" s="9">
        <v>1</v>
      </c>
      <c r="U352" s="9">
        <v>0</v>
      </c>
      <c r="V352" s="10">
        <f>SUM(Table676769727514212631384853[[#This Row],[Bus ]:[Wheelchair]])</f>
        <v>3</v>
      </c>
    </row>
    <row r="353" spans="2:22" ht="19.2" x14ac:dyDescent="0.4">
      <c r="B353" s="8" t="s">
        <v>76</v>
      </c>
      <c r="C353" s="8" t="s">
        <v>74</v>
      </c>
      <c r="D353" s="9">
        <v>0</v>
      </c>
      <c r="E353" s="9">
        <v>1</v>
      </c>
      <c r="F353" s="9">
        <v>0</v>
      </c>
      <c r="G353" s="9">
        <v>0</v>
      </c>
      <c r="H353" s="9">
        <v>0</v>
      </c>
      <c r="I353" s="9">
        <v>0</v>
      </c>
      <c r="J353" s="9">
        <v>0</v>
      </c>
      <c r="K353" s="10">
        <f>SUM(Table6767717413202527374752[[#This Row],[Bus ]:[Wheelchair]])</f>
        <v>1</v>
      </c>
      <c r="M353" s="8" t="s">
        <v>52</v>
      </c>
      <c r="N353" s="8" t="s">
        <v>74</v>
      </c>
      <c r="O353" s="9">
        <v>0</v>
      </c>
      <c r="P353" s="9">
        <v>2</v>
      </c>
      <c r="Q353" s="9">
        <v>2</v>
      </c>
      <c r="R353" s="9">
        <v>0</v>
      </c>
      <c r="S353" s="9">
        <v>0</v>
      </c>
      <c r="T353" s="9">
        <v>0</v>
      </c>
      <c r="U353" s="9">
        <v>0</v>
      </c>
      <c r="V353" s="10">
        <f>SUM(Table676769727514212631384853[[#This Row],[Bus ]:[Wheelchair]])</f>
        <v>4</v>
      </c>
    </row>
    <row r="354" spans="2:22" ht="19.2" x14ac:dyDescent="0.4">
      <c r="B354" s="8" t="s">
        <v>51</v>
      </c>
      <c r="C354" s="8" t="s">
        <v>74</v>
      </c>
      <c r="D354" s="9">
        <v>0</v>
      </c>
      <c r="E354" s="9">
        <v>0</v>
      </c>
      <c r="F354" s="9">
        <v>1</v>
      </c>
      <c r="G354" s="9">
        <v>0</v>
      </c>
      <c r="H354" s="9">
        <v>0</v>
      </c>
      <c r="I354" s="9">
        <v>0</v>
      </c>
      <c r="J354" s="9">
        <v>0</v>
      </c>
      <c r="K354" s="10">
        <f>SUM(Table6767717413202527374752[[#This Row],[Bus ]:[Wheelchair]])</f>
        <v>1</v>
      </c>
      <c r="M354" s="8" t="s">
        <v>56</v>
      </c>
      <c r="N354" s="8" t="s">
        <v>74</v>
      </c>
      <c r="O354" s="9">
        <v>0</v>
      </c>
      <c r="P354" s="9">
        <v>0</v>
      </c>
      <c r="Q354" s="9">
        <v>3</v>
      </c>
      <c r="R354" s="9">
        <v>0</v>
      </c>
      <c r="S354" s="9">
        <v>0</v>
      </c>
      <c r="T354" s="9">
        <v>0</v>
      </c>
      <c r="U354" s="9">
        <v>0</v>
      </c>
      <c r="V354" s="10">
        <f>SUM(Table676769727514212631384853[[#This Row],[Bus ]:[Wheelchair]])</f>
        <v>3</v>
      </c>
    </row>
    <row r="355" spans="2:22" ht="19.2" x14ac:dyDescent="0.4">
      <c r="B355" s="8" t="s">
        <v>52</v>
      </c>
      <c r="C355" s="8" t="s">
        <v>74</v>
      </c>
      <c r="D355" s="9">
        <v>0</v>
      </c>
      <c r="E355" s="9">
        <v>1</v>
      </c>
      <c r="F355" s="9">
        <v>7</v>
      </c>
      <c r="G355" s="9">
        <v>0</v>
      </c>
      <c r="H355" s="9">
        <v>0</v>
      </c>
      <c r="I355" s="9">
        <v>0</v>
      </c>
      <c r="J355" s="9">
        <v>0</v>
      </c>
      <c r="K355" s="10">
        <f>SUM(Table6767717413202527374752[[#This Row],[Bus ]:[Wheelchair]])</f>
        <v>8</v>
      </c>
      <c r="M355" s="8" t="s">
        <v>57</v>
      </c>
      <c r="N355" s="8" t="s">
        <v>74</v>
      </c>
      <c r="O355" s="9">
        <v>0</v>
      </c>
      <c r="P355" s="9">
        <v>0</v>
      </c>
      <c r="Q355" s="9">
        <v>1</v>
      </c>
      <c r="R355" s="9">
        <v>0</v>
      </c>
      <c r="S355" s="9">
        <v>0</v>
      </c>
      <c r="T355" s="9">
        <v>0</v>
      </c>
      <c r="U355" s="9">
        <v>0</v>
      </c>
      <c r="V355" s="10">
        <f>SUM(Table676769727514212631384853[[#This Row],[Bus ]:[Wheelchair]])</f>
        <v>1</v>
      </c>
    </row>
    <row r="356" spans="2:22" ht="19.2" x14ac:dyDescent="0.4">
      <c r="B356" s="8" t="s">
        <v>56</v>
      </c>
      <c r="C356" s="8" t="s">
        <v>74</v>
      </c>
      <c r="D356" s="9">
        <v>0</v>
      </c>
      <c r="E356" s="9">
        <v>0</v>
      </c>
      <c r="F356" s="9">
        <v>2</v>
      </c>
      <c r="G356" s="9">
        <v>0</v>
      </c>
      <c r="H356" s="9">
        <v>0</v>
      </c>
      <c r="I356" s="9">
        <v>0</v>
      </c>
      <c r="J356" s="9">
        <v>0</v>
      </c>
      <c r="K356" s="10">
        <f>SUM(Table6767717413202527374752[[#This Row],[Bus ]:[Wheelchair]])</f>
        <v>2</v>
      </c>
      <c r="M356" s="8" t="s">
        <v>131</v>
      </c>
      <c r="N356" s="8" t="s">
        <v>74</v>
      </c>
      <c r="O356" s="9">
        <v>0</v>
      </c>
      <c r="P356" s="9">
        <v>0</v>
      </c>
      <c r="Q356" s="9">
        <v>2</v>
      </c>
      <c r="R356" s="9">
        <v>0</v>
      </c>
      <c r="S356" s="9">
        <v>0</v>
      </c>
      <c r="T356" s="9">
        <v>0</v>
      </c>
      <c r="U356" s="9">
        <v>0</v>
      </c>
      <c r="V356" s="10">
        <f>SUM(Table676769727514212631384853[[#This Row],[Bus ]:[Wheelchair]])</f>
        <v>2</v>
      </c>
    </row>
    <row r="357" spans="2:22" ht="19.2" x14ac:dyDescent="0.4">
      <c r="B357" s="8" t="s">
        <v>57</v>
      </c>
      <c r="C357" s="8" t="s">
        <v>74</v>
      </c>
      <c r="D357" s="9">
        <v>0</v>
      </c>
      <c r="E357" s="9">
        <v>0</v>
      </c>
      <c r="F357" s="9">
        <v>0</v>
      </c>
      <c r="G357" s="9">
        <v>0</v>
      </c>
      <c r="H357" s="9">
        <v>0</v>
      </c>
      <c r="I357" s="9">
        <v>1</v>
      </c>
      <c r="J357" s="9">
        <v>0</v>
      </c>
      <c r="K357" s="10">
        <f>SUM(Table6767717413202527374752[[#This Row],[Bus ]:[Wheelchair]])</f>
        <v>1</v>
      </c>
      <c r="M357" s="8" t="s">
        <v>59</v>
      </c>
      <c r="N357" s="8" t="s">
        <v>74</v>
      </c>
      <c r="O357" s="9">
        <v>0</v>
      </c>
      <c r="P357" s="9">
        <v>12</v>
      </c>
      <c r="Q357" s="9">
        <v>0</v>
      </c>
      <c r="R357" s="9">
        <v>0</v>
      </c>
      <c r="S357" s="9">
        <v>0</v>
      </c>
      <c r="T357" s="9">
        <v>3</v>
      </c>
      <c r="U357" s="9">
        <v>0</v>
      </c>
      <c r="V357" s="10">
        <f>SUM(Table676769727514212631384853[[#This Row],[Bus ]:[Wheelchair]])</f>
        <v>15</v>
      </c>
    </row>
    <row r="358" spans="2:22" ht="19.2" x14ac:dyDescent="0.4">
      <c r="B358" s="8" t="s">
        <v>131</v>
      </c>
      <c r="C358" s="8" t="s">
        <v>74</v>
      </c>
      <c r="D358" s="9">
        <v>0</v>
      </c>
      <c r="E358" s="9">
        <v>1</v>
      </c>
      <c r="F358" s="9">
        <v>0</v>
      </c>
      <c r="G358" s="9">
        <v>0</v>
      </c>
      <c r="H358" s="9">
        <v>0</v>
      </c>
      <c r="I358" s="9">
        <v>0</v>
      </c>
      <c r="J358" s="9">
        <v>0</v>
      </c>
      <c r="K358" s="10">
        <f>SUM(Table6767717413202527374752[[#This Row],[Bus ]:[Wheelchair]])</f>
        <v>1</v>
      </c>
      <c r="M358" s="8" t="s">
        <v>60</v>
      </c>
      <c r="N358" s="8" t="s">
        <v>74</v>
      </c>
      <c r="O358" s="9">
        <v>0</v>
      </c>
      <c r="P358" s="9">
        <v>9</v>
      </c>
      <c r="Q358" s="9">
        <v>3</v>
      </c>
      <c r="R358" s="9">
        <v>0</v>
      </c>
      <c r="S358" s="9">
        <v>0</v>
      </c>
      <c r="T358" s="9">
        <v>0</v>
      </c>
      <c r="U358" s="9">
        <v>0</v>
      </c>
      <c r="V358" s="10">
        <f>SUM(Table676769727514212631384853[[#This Row],[Bus ]:[Wheelchair]])</f>
        <v>12</v>
      </c>
    </row>
    <row r="359" spans="2:22" ht="19.2" x14ac:dyDescent="0.4">
      <c r="B359" s="8" t="s">
        <v>59</v>
      </c>
      <c r="C359" s="8" t="s">
        <v>74</v>
      </c>
      <c r="D359" s="9">
        <v>0</v>
      </c>
      <c r="E359" s="9">
        <v>2</v>
      </c>
      <c r="F359" s="9">
        <v>0</v>
      </c>
      <c r="G359" s="9">
        <v>0</v>
      </c>
      <c r="H359" s="9">
        <v>0</v>
      </c>
      <c r="I359" s="9">
        <v>7</v>
      </c>
      <c r="J359" s="9">
        <v>0</v>
      </c>
      <c r="K359" s="10">
        <f>SUM(Table6767717413202527374752[[#This Row],[Bus ]:[Wheelchair]])</f>
        <v>9</v>
      </c>
      <c r="M359" s="8" t="s">
        <v>182</v>
      </c>
      <c r="N359" s="8" t="s">
        <v>77</v>
      </c>
      <c r="O359" s="9">
        <v>0</v>
      </c>
      <c r="P359" s="9">
        <v>0</v>
      </c>
      <c r="Q359" s="9">
        <v>1</v>
      </c>
      <c r="R359" s="9">
        <v>0</v>
      </c>
      <c r="S359" s="9">
        <v>0</v>
      </c>
      <c r="T359" s="9">
        <v>0</v>
      </c>
      <c r="U359" s="9">
        <v>0</v>
      </c>
      <c r="V359" s="10">
        <f>SUM(Table676769727514212631384853[[#This Row],[Bus ]:[Wheelchair]])</f>
        <v>1</v>
      </c>
    </row>
    <row r="360" spans="2:22" ht="19.2" x14ac:dyDescent="0.4">
      <c r="B360" s="8" t="s">
        <v>60</v>
      </c>
      <c r="C360" s="8" t="s">
        <v>74</v>
      </c>
      <c r="D360" s="9">
        <v>0</v>
      </c>
      <c r="E360" s="9">
        <v>21</v>
      </c>
      <c r="F360" s="9">
        <v>7</v>
      </c>
      <c r="G360" s="9">
        <v>0</v>
      </c>
      <c r="H360" s="9">
        <v>0</v>
      </c>
      <c r="I360" s="9">
        <v>8</v>
      </c>
      <c r="J360" s="9">
        <v>0</v>
      </c>
      <c r="K360" s="10">
        <f>SUM(Table6767717413202527374752[[#This Row],[Bus ]:[Wheelchair]])</f>
        <v>36</v>
      </c>
      <c r="M360" s="8" t="s">
        <v>183</v>
      </c>
      <c r="N360" s="8" t="s">
        <v>78</v>
      </c>
      <c r="O360" s="9">
        <v>0</v>
      </c>
      <c r="P360" s="9">
        <v>2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0">
        <f>SUM(Table676769727514212631384853[[#This Row],[Bus ]:[Wheelchair]])</f>
        <v>2</v>
      </c>
    </row>
    <row r="361" spans="2:22" ht="19.2" x14ac:dyDescent="0.4">
      <c r="B361" s="8" t="s">
        <v>86</v>
      </c>
      <c r="C361" s="8" t="s">
        <v>74</v>
      </c>
      <c r="D361" s="9">
        <v>0</v>
      </c>
      <c r="E361" s="9">
        <v>0</v>
      </c>
      <c r="F361" s="9">
        <v>3</v>
      </c>
      <c r="G361" s="9">
        <v>0</v>
      </c>
      <c r="H361" s="9">
        <v>0</v>
      </c>
      <c r="I361" s="9">
        <v>0</v>
      </c>
      <c r="J361" s="9">
        <v>0</v>
      </c>
      <c r="K361" s="10">
        <f>SUM(Table6767717413202527374752[[#This Row],[Bus ]:[Wheelchair]])</f>
        <v>3</v>
      </c>
      <c r="M361" s="8" t="s">
        <v>184</v>
      </c>
      <c r="N361" s="8" t="s">
        <v>79</v>
      </c>
      <c r="O361" s="9">
        <v>0</v>
      </c>
      <c r="P361" s="9">
        <v>4</v>
      </c>
      <c r="Q361" s="9">
        <v>0</v>
      </c>
      <c r="R361" s="9">
        <v>0</v>
      </c>
      <c r="S361" s="9">
        <v>0</v>
      </c>
      <c r="T361" s="9">
        <v>1</v>
      </c>
      <c r="U361" s="9">
        <v>0</v>
      </c>
      <c r="V361" s="10">
        <f>SUM(Table676769727514212631384853[[#This Row],[Bus ]:[Wheelchair]])</f>
        <v>5</v>
      </c>
    </row>
    <row r="362" spans="2:22" ht="19.2" x14ac:dyDescent="0.4">
      <c r="B362" s="8" t="s">
        <v>185</v>
      </c>
      <c r="C362" s="8" t="s">
        <v>78</v>
      </c>
      <c r="D362" s="9">
        <v>0</v>
      </c>
      <c r="E362" s="9">
        <v>0</v>
      </c>
      <c r="F362" s="9">
        <v>1</v>
      </c>
      <c r="G362" s="9">
        <v>0</v>
      </c>
      <c r="H362" s="9">
        <v>0</v>
      </c>
      <c r="I362" s="9">
        <v>0</v>
      </c>
      <c r="J362" s="9">
        <v>0</v>
      </c>
      <c r="K362" s="10">
        <f>SUM(Table6767717413202527374752[[#This Row],[Bus ]:[Wheelchair]])</f>
        <v>1</v>
      </c>
      <c r="M362" s="8" t="s">
        <v>186</v>
      </c>
      <c r="N362" s="8" t="s">
        <v>79</v>
      </c>
      <c r="O362" s="9">
        <v>0</v>
      </c>
      <c r="P362" s="9">
        <v>2</v>
      </c>
      <c r="Q362" s="9">
        <v>1</v>
      </c>
      <c r="R362" s="9">
        <v>0</v>
      </c>
      <c r="S362" s="9">
        <v>0</v>
      </c>
      <c r="T362" s="9">
        <v>0</v>
      </c>
      <c r="U362" s="9">
        <v>0</v>
      </c>
      <c r="V362" s="10">
        <f>SUM(Table676769727514212631384853[[#This Row],[Bus ]:[Wheelchair]])</f>
        <v>3</v>
      </c>
    </row>
    <row r="363" spans="2:22" ht="19.2" x14ac:dyDescent="0.4">
      <c r="B363" s="8" t="s">
        <v>187</v>
      </c>
      <c r="C363" s="8" t="s">
        <v>79</v>
      </c>
      <c r="D363" s="9">
        <v>0</v>
      </c>
      <c r="E363" s="9">
        <v>1</v>
      </c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10">
        <f>SUM(Table6767717413202527374752[[#This Row],[Bus ]:[Wheelchair]])</f>
        <v>1</v>
      </c>
      <c r="M363" s="8" t="s">
        <v>39</v>
      </c>
      <c r="N363" s="8" t="s">
        <v>79</v>
      </c>
      <c r="O363" s="9">
        <v>0</v>
      </c>
      <c r="P363" s="9">
        <v>1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0">
        <f>SUM(Table676769727514212631384853[[#This Row],[Bus ]:[Wheelchair]])</f>
        <v>1</v>
      </c>
    </row>
    <row r="364" spans="2:22" ht="19.2" x14ac:dyDescent="0.4">
      <c r="B364" s="8" t="s">
        <v>39</v>
      </c>
      <c r="C364" s="8" t="s">
        <v>79</v>
      </c>
      <c r="D364" s="9">
        <v>0</v>
      </c>
      <c r="E364" s="9">
        <v>0</v>
      </c>
      <c r="F364" s="9">
        <v>2</v>
      </c>
      <c r="G364" s="9">
        <v>0</v>
      </c>
      <c r="H364" s="9">
        <v>0</v>
      </c>
      <c r="I364" s="9">
        <v>0</v>
      </c>
      <c r="J364" s="9">
        <v>0</v>
      </c>
      <c r="K364" s="10">
        <f>SUM(Table6767717413202527374752[[#This Row],[Bus ]:[Wheelchair]])</f>
        <v>2</v>
      </c>
      <c r="M364" s="8" t="s">
        <v>63</v>
      </c>
      <c r="N364" s="8" t="s">
        <v>79</v>
      </c>
      <c r="O364" s="9">
        <v>0</v>
      </c>
      <c r="P364" s="9">
        <v>4</v>
      </c>
      <c r="Q364" s="9">
        <v>1</v>
      </c>
      <c r="R364" s="9">
        <v>0</v>
      </c>
      <c r="S364" s="9">
        <v>0</v>
      </c>
      <c r="T364" s="9">
        <v>0</v>
      </c>
      <c r="U364" s="9">
        <v>0</v>
      </c>
      <c r="V364" s="10">
        <f>SUM(Table676769727514212631384853[[#This Row],[Bus ]:[Wheelchair]])</f>
        <v>5</v>
      </c>
    </row>
    <row r="365" spans="2:22" ht="19.2" x14ac:dyDescent="0.4">
      <c r="B365" s="8" t="s">
        <v>40</v>
      </c>
      <c r="C365" s="8" t="s">
        <v>79</v>
      </c>
      <c r="D365" s="9">
        <v>0</v>
      </c>
      <c r="E365" s="9">
        <v>0</v>
      </c>
      <c r="F365" s="9">
        <v>1</v>
      </c>
      <c r="G365" s="9">
        <v>0</v>
      </c>
      <c r="H365" s="9">
        <v>0</v>
      </c>
      <c r="I365" s="9">
        <v>0</v>
      </c>
      <c r="J365" s="9">
        <v>0</v>
      </c>
      <c r="K365" s="10">
        <f>SUM(Table6767717413202527374752[[#This Row],[Bus ]:[Wheelchair]])</f>
        <v>1</v>
      </c>
      <c r="M365" s="8" t="s">
        <v>97</v>
      </c>
      <c r="N365" s="8" t="s">
        <v>81</v>
      </c>
      <c r="O365" s="9">
        <v>0</v>
      </c>
      <c r="P365" s="9">
        <v>1</v>
      </c>
      <c r="Q365" s="9">
        <v>3</v>
      </c>
      <c r="R365" s="9">
        <v>0</v>
      </c>
      <c r="S365" s="9">
        <v>0</v>
      </c>
      <c r="T365" s="9">
        <v>0</v>
      </c>
      <c r="U365" s="9">
        <v>0</v>
      </c>
      <c r="V365" s="10">
        <f>SUM(Table676769727514212631384853[[#This Row],[Bus ]:[Wheelchair]])</f>
        <v>4</v>
      </c>
    </row>
    <row r="366" spans="2:22" ht="19.2" x14ac:dyDescent="0.4">
      <c r="B366" s="8" t="s">
        <v>188</v>
      </c>
      <c r="C366" s="8" t="s">
        <v>79</v>
      </c>
      <c r="D366" s="9">
        <v>0</v>
      </c>
      <c r="E366" s="9">
        <v>1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10">
        <f>SUM(Table6767717413202527374752[[#This Row],[Bus ]:[Wheelchair]])</f>
        <v>1</v>
      </c>
      <c r="M366" s="8" t="s">
        <v>32</v>
      </c>
      <c r="N366" s="8" t="s">
        <v>87</v>
      </c>
      <c r="O366" s="9">
        <v>0</v>
      </c>
      <c r="P366" s="9">
        <v>2</v>
      </c>
      <c r="Q366" s="9">
        <v>9</v>
      </c>
      <c r="R366" s="9">
        <v>0</v>
      </c>
      <c r="S366" s="9">
        <v>0</v>
      </c>
      <c r="T366" s="9">
        <v>0</v>
      </c>
      <c r="U366" s="9">
        <v>0</v>
      </c>
      <c r="V366" s="10">
        <f>SUM(Table676769727514212631384853[[#This Row],[Bus ]:[Wheelchair]])</f>
        <v>11</v>
      </c>
    </row>
    <row r="367" spans="2:22" ht="19.2" x14ac:dyDescent="0.4">
      <c r="B367" s="8" t="s">
        <v>63</v>
      </c>
      <c r="C367" s="8" t="s">
        <v>79</v>
      </c>
      <c r="D367" s="9">
        <v>0</v>
      </c>
      <c r="E367" s="9">
        <v>6</v>
      </c>
      <c r="F367" s="9">
        <v>1</v>
      </c>
      <c r="G367" s="9">
        <v>0</v>
      </c>
      <c r="H367" s="9">
        <v>0</v>
      </c>
      <c r="I367" s="9">
        <v>0</v>
      </c>
      <c r="J367" s="9">
        <v>0</v>
      </c>
      <c r="K367" s="10">
        <f>SUM(Table6767717413202527374752[[#This Row],[Bus ]:[Wheelchair]])</f>
        <v>7</v>
      </c>
      <c r="M367" s="8" t="s">
        <v>132</v>
      </c>
      <c r="N367" s="8" t="s">
        <v>115</v>
      </c>
      <c r="O367" s="9">
        <v>0</v>
      </c>
      <c r="P367" s="9">
        <v>0</v>
      </c>
      <c r="Q367" s="9">
        <v>2</v>
      </c>
      <c r="R367" s="9">
        <v>0</v>
      </c>
      <c r="S367" s="9">
        <v>0</v>
      </c>
      <c r="T367" s="9">
        <v>0</v>
      </c>
      <c r="U367" s="9">
        <v>0</v>
      </c>
      <c r="V367" s="10">
        <f>SUM(Table676769727514212631384853[[#This Row],[Bus ]:[Wheelchair]])</f>
        <v>2</v>
      </c>
    </row>
    <row r="368" spans="2:22" ht="19.2" x14ac:dyDescent="0.4">
      <c r="B368" s="8" t="s">
        <v>97</v>
      </c>
      <c r="C368" s="8" t="s">
        <v>81</v>
      </c>
      <c r="D368" s="9">
        <v>0</v>
      </c>
      <c r="E368" s="9">
        <v>0</v>
      </c>
      <c r="F368" s="9">
        <v>1</v>
      </c>
      <c r="G368" s="9">
        <v>0</v>
      </c>
      <c r="H368" s="9">
        <v>0</v>
      </c>
      <c r="I368" s="9">
        <v>0</v>
      </c>
      <c r="J368" s="9">
        <v>0</v>
      </c>
      <c r="K368" s="10">
        <f>SUM(Table6767717413202527374752[[#This Row],[Bus ]:[Wheelchair]])</f>
        <v>1</v>
      </c>
      <c r="M368" s="8" t="s">
        <v>189</v>
      </c>
      <c r="N368" s="8" t="s">
        <v>128</v>
      </c>
      <c r="O368" s="9">
        <v>0</v>
      </c>
      <c r="P368" s="9">
        <v>0</v>
      </c>
      <c r="Q368" s="9">
        <v>3</v>
      </c>
      <c r="R368" s="9">
        <v>0</v>
      </c>
      <c r="S368" s="9">
        <v>0</v>
      </c>
      <c r="T368" s="9">
        <v>0</v>
      </c>
      <c r="U368" s="9">
        <v>0</v>
      </c>
      <c r="V368" s="10">
        <f>SUM(Table676769727514212631384853[[#This Row],[Bus ]:[Wheelchair]])</f>
        <v>3</v>
      </c>
    </row>
    <row r="369" spans="2:22" ht="19.2" x14ac:dyDescent="0.4">
      <c r="B369" s="8" t="s">
        <v>190</v>
      </c>
      <c r="C369" s="8" t="s">
        <v>85</v>
      </c>
      <c r="D369" s="9">
        <v>0</v>
      </c>
      <c r="E369" s="9">
        <v>0</v>
      </c>
      <c r="F369" s="9">
        <v>1</v>
      </c>
      <c r="G369" s="9">
        <v>0</v>
      </c>
      <c r="H369" s="9">
        <v>0</v>
      </c>
      <c r="I369" s="9">
        <v>0</v>
      </c>
      <c r="J369" s="9">
        <v>0</v>
      </c>
      <c r="K369" s="10">
        <f>SUM(Table6767717413202527374752[[#This Row],[Bus ]:[Wheelchair]])</f>
        <v>1</v>
      </c>
      <c r="M369" s="8" t="s">
        <v>145</v>
      </c>
      <c r="N369" s="8" t="s">
        <v>128</v>
      </c>
      <c r="O369" s="9">
        <v>0</v>
      </c>
      <c r="P369" s="9">
        <v>0</v>
      </c>
      <c r="Q369" s="9">
        <v>1</v>
      </c>
      <c r="R369" s="9">
        <v>0</v>
      </c>
      <c r="S369" s="9">
        <v>0</v>
      </c>
      <c r="T369" s="9">
        <v>0</v>
      </c>
      <c r="U369" s="9">
        <v>0</v>
      </c>
      <c r="V369" s="10">
        <f>SUM(Table676769727514212631384853[[#This Row],[Bus ]:[Wheelchair]])</f>
        <v>1</v>
      </c>
    </row>
    <row r="370" spans="2:22" ht="19.2" x14ac:dyDescent="0.4">
      <c r="B370" s="8" t="s">
        <v>32</v>
      </c>
      <c r="C370" s="8" t="s">
        <v>87</v>
      </c>
      <c r="D370" s="9">
        <v>0</v>
      </c>
      <c r="E370" s="9">
        <v>2</v>
      </c>
      <c r="F370" s="9">
        <v>15</v>
      </c>
      <c r="G370" s="9">
        <v>0</v>
      </c>
      <c r="H370" s="9">
        <v>0</v>
      </c>
      <c r="I370" s="9">
        <v>0</v>
      </c>
      <c r="J370" s="9">
        <v>0</v>
      </c>
      <c r="K370" s="10">
        <f>SUM(Table6767717413202527374752[[#This Row],[Bus ]:[Wheelchair]])</f>
        <v>17</v>
      </c>
      <c r="M370" s="8" t="s">
        <v>36</v>
      </c>
      <c r="N370" s="8" t="s">
        <v>92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1</v>
      </c>
      <c r="V370" s="10">
        <f>SUM(Table676769727514212631384853[[#This Row],[Bus ]:[Wheelchair]])</f>
        <v>1</v>
      </c>
    </row>
    <row r="371" spans="2:22" ht="19.2" x14ac:dyDescent="0.4">
      <c r="B371" s="8" t="s">
        <v>191</v>
      </c>
      <c r="C371" s="8" t="s">
        <v>87</v>
      </c>
      <c r="D371" s="9">
        <v>0</v>
      </c>
      <c r="E371" s="9">
        <v>0</v>
      </c>
      <c r="F371" s="9">
        <v>0</v>
      </c>
      <c r="G371" s="9">
        <v>0</v>
      </c>
      <c r="H371" s="9">
        <v>0</v>
      </c>
      <c r="I371" s="9">
        <v>1</v>
      </c>
      <c r="J371" s="9">
        <v>0</v>
      </c>
      <c r="K371" s="10">
        <f>SUM(Table6767717413202527374752[[#This Row],[Bus ]:[Wheelchair]])</f>
        <v>1</v>
      </c>
      <c r="M371" s="8" t="s">
        <v>192</v>
      </c>
      <c r="N371" s="8" t="s">
        <v>92</v>
      </c>
      <c r="O371" s="9">
        <v>0</v>
      </c>
      <c r="P371" s="9">
        <v>1</v>
      </c>
      <c r="Q371" s="9">
        <v>0</v>
      </c>
      <c r="R371" s="9">
        <v>0</v>
      </c>
      <c r="S371" s="9">
        <v>0</v>
      </c>
      <c r="T371" s="9">
        <v>1</v>
      </c>
      <c r="U371" s="9">
        <v>0</v>
      </c>
      <c r="V371" s="10">
        <f>SUM(Table676769727514212631384853[[#This Row],[Bus ]:[Wheelchair]])</f>
        <v>2</v>
      </c>
    </row>
    <row r="372" spans="2:22" ht="19.2" x14ac:dyDescent="0.4">
      <c r="B372" s="8" t="s">
        <v>132</v>
      </c>
      <c r="C372" s="8" t="s">
        <v>115</v>
      </c>
      <c r="D372" s="9">
        <v>0</v>
      </c>
      <c r="E372" s="9">
        <v>0</v>
      </c>
      <c r="F372" s="9">
        <v>1</v>
      </c>
      <c r="G372" s="9">
        <v>0</v>
      </c>
      <c r="H372" s="9">
        <v>0</v>
      </c>
      <c r="I372" s="9">
        <v>0</v>
      </c>
      <c r="J372" s="9">
        <v>0</v>
      </c>
      <c r="K372" s="10">
        <f>SUM(Table6767717413202527374752[[#This Row],[Bus ]:[Wheelchair]])</f>
        <v>1</v>
      </c>
      <c r="M372" s="8" t="s">
        <v>55</v>
      </c>
      <c r="N372" s="8" t="s">
        <v>92</v>
      </c>
      <c r="O372" s="9">
        <v>0</v>
      </c>
      <c r="P372" s="9">
        <v>117</v>
      </c>
      <c r="Q372" s="9">
        <v>53</v>
      </c>
      <c r="R372" s="9">
        <v>3</v>
      </c>
      <c r="S372" s="9">
        <v>1</v>
      </c>
      <c r="T372" s="9">
        <v>13</v>
      </c>
      <c r="U372" s="9">
        <v>8</v>
      </c>
      <c r="V372" s="10">
        <f>SUM(Table676769727514212631384853[[#This Row],[Bus ]:[Wheelchair]])</f>
        <v>195</v>
      </c>
    </row>
    <row r="373" spans="2:22" ht="19.2" x14ac:dyDescent="0.4">
      <c r="B373" s="8" t="s">
        <v>36</v>
      </c>
      <c r="C373" s="8" t="s">
        <v>92</v>
      </c>
      <c r="D373" s="9">
        <v>0</v>
      </c>
      <c r="E373" s="9">
        <v>1</v>
      </c>
      <c r="F373" s="9">
        <v>0</v>
      </c>
      <c r="G373" s="9">
        <v>0</v>
      </c>
      <c r="H373" s="9">
        <v>0</v>
      </c>
      <c r="I373" s="9">
        <v>0</v>
      </c>
      <c r="J373" s="9">
        <v>0</v>
      </c>
      <c r="K373" s="10">
        <f>SUM(Table6767717413202527374752[[#This Row],[Bus ]:[Wheelchair]])</f>
        <v>1</v>
      </c>
      <c r="M373" s="8" t="s">
        <v>61</v>
      </c>
      <c r="N373" s="8" t="s">
        <v>92</v>
      </c>
      <c r="O373" s="9">
        <v>0</v>
      </c>
      <c r="P373" s="9">
        <v>1</v>
      </c>
      <c r="Q373" s="9">
        <v>0</v>
      </c>
      <c r="R373" s="9">
        <v>0</v>
      </c>
      <c r="S373" s="9">
        <v>0</v>
      </c>
      <c r="T373" s="9">
        <v>1</v>
      </c>
      <c r="U373" s="9">
        <v>0</v>
      </c>
      <c r="V373" s="10">
        <f>SUM(Table676769727514212631384853[[#This Row],[Bus ]:[Wheelchair]])</f>
        <v>2</v>
      </c>
    </row>
    <row r="374" spans="2:22" ht="19.2" x14ac:dyDescent="0.4">
      <c r="B374" s="8" t="s">
        <v>101</v>
      </c>
      <c r="C374" s="8" t="s">
        <v>92</v>
      </c>
      <c r="D374" s="9">
        <v>0</v>
      </c>
      <c r="E374" s="9">
        <v>0</v>
      </c>
      <c r="F374" s="9">
        <v>1</v>
      </c>
      <c r="G374" s="9">
        <v>0</v>
      </c>
      <c r="H374" s="9">
        <v>0</v>
      </c>
      <c r="I374" s="9">
        <v>0</v>
      </c>
      <c r="J374" s="9">
        <v>0</v>
      </c>
      <c r="K374" s="10">
        <f>SUM(Table6767717413202527374752[[#This Row],[Bus ]:[Wheelchair]])</f>
        <v>1</v>
      </c>
      <c r="M374" s="8" t="s">
        <v>65</v>
      </c>
      <c r="N374" s="8" t="s">
        <v>92</v>
      </c>
      <c r="O374" s="9">
        <v>0</v>
      </c>
      <c r="P374" s="9">
        <v>3</v>
      </c>
      <c r="Q374" s="9">
        <v>9</v>
      </c>
      <c r="R374" s="9">
        <v>0</v>
      </c>
      <c r="S374" s="9">
        <v>0</v>
      </c>
      <c r="T374" s="9">
        <v>0</v>
      </c>
      <c r="U374" s="9">
        <v>0</v>
      </c>
      <c r="V374" s="10">
        <f>SUM(Table676769727514212631384853[[#This Row],[Bus ]:[Wheelchair]])</f>
        <v>12</v>
      </c>
    </row>
    <row r="375" spans="2:22" ht="19.2" x14ac:dyDescent="0.4">
      <c r="B375" s="8" t="s">
        <v>55</v>
      </c>
      <c r="C375" s="8" t="s">
        <v>92</v>
      </c>
      <c r="D375" s="9">
        <v>0</v>
      </c>
      <c r="E375" s="9">
        <v>101</v>
      </c>
      <c r="F375" s="9">
        <v>57</v>
      </c>
      <c r="G375" s="9">
        <v>0</v>
      </c>
      <c r="H375" s="9">
        <v>1</v>
      </c>
      <c r="I375" s="9">
        <v>53</v>
      </c>
      <c r="J375" s="9">
        <v>5</v>
      </c>
      <c r="K375" s="10">
        <f>SUM(Table6767717413202527374752[[#This Row],[Bus ]:[Wheelchair]])</f>
        <v>217</v>
      </c>
      <c r="M375" s="8" t="s">
        <v>66</v>
      </c>
      <c r="N375" s="8" t="s">
        <v>92</v>
      </c>
      <c r="O375" s="9">
        <v>0</v>
      </c>
      <c r="P375" s="9">
        <v>0</v>
      </c>
      <c r="Q375" s="9">
        <v>25</v>
      </c>
      <c r="R375" s="9">
        <v>0</v>
      </c>
      <c r="S375" s="9">
        <v>0</v>
      </c>
      <c r="T375" s="9">
        <v>0</v>
      </c>
      <c r="U375" s="9">
        <v>0</v>
      </c>
      <c r="V375" s="10">
        <f>SUM(Table676769727514212631384853[[#This Row],[Bus ]:[Wheelchair]])</f>
        <v>25</v>
      </c>
    </row>
    <row r="376" spans="2:22" ht="20.399999999999999" x14ac:dyDescent="0.4">
      <c r="B376" s="8" t="s">
        <v>61</v>
      </c>
      <c r="C376" s="8" t="s">
        <v>92</v>
      </c>
      <c r="D376" s="9">
        <v>0</v>
      </c>
      <c r="E376" s="9">
        <v>3</v>
      </c>
      <c r="F376" s="9">
        <v>0</v>
      </c>
      <c r="G376" s="9">
        <v>0</v>
      </c>
      <c r="H376" s="9">
        <v>0</v>
      </c>
      <c r="I376" s="9">
        <v>0</v>
      </c>
      <c r="J376" s="9">
        <v>0</v>
      </c>
      <c r="K376" s="10">
        <f>SUM(Table6767717413202527374752[[#This Row],[Bus ]:[Wheelchair]])</f>
        <v>3</v>
      </c>
      <c r="M376" s="31" t="s">
        <v>20</v>
      </c>
      <c r="N376" s="31"/>
      <c r="O376" s="32">
        <f>SUBTOTAL(109,Table676769727514212631384853[[Bus ]])</f>
        <v>0</v>
      </c>
      <c r="P376" s="32">
        <f>SUBTOTAL(109,Table676769727514212631384853[Cab])</f>
        <v>311</v>
      </c>
      <c r="Q376" s="32">
        <f>SUBTOTAL(109,Table676769727514212631384853[GMR])</f>
        <v>147</v>
      </c>
      <c r="R376" s="32">
        <f>SUBTOTAL(109,Table676769727514212631384853[Public Entity])</f>
        <v>7</v>
      </c>
      <c r="S376" s="32">
        <f>SUBTOTAL(109,Table676769727514212631384853[Stretcher])</f>
        <v>5</v>
      </c>
      <c r="T376" s="32">
        <f>SUBTOTAL(109,Table676769727514212631384853[TNC Vendor])</f>
        <v>31</v>
      </c>
      <c r="U376" s="32">
        <f>SUBTOTAL(109,Table676769727514212631384853[Wheelchair])</f>
        <v>10</v>
      </c>
      <c r="V376" s="32">
        <f>SUBTOTAL(109,Table676769727514212631384853[Total])</f>
        <v>511</v>
      </c>
    </row>
    <row r="377" spans="2:22" ht="19.2" x14ac:dyDescent="0.4">
      <c r="B377" s="8" t="s">
        <v>65</v>
      </c>
      <c r="C377" s="8" t="s">
        <v>92</v>
      </c>
      <c r="D377" s="9">
        <v>0</v>
      </c>
      <c r="E377" s="9">
        <v>0</v>
      </c>
      <c r="F377" s="9">
        <v>5</v>
      </c>
      <c r="G377" s="9">
        <v>0</v>
      </c>
      <c r="H377" s="9">
        <v>0</v>
      </c>
      <c r="I377" s="9">
        <v>2</v>
      </c>
      <c r="J377" s="9">
        <v>0</v>
      </c>
      <c r="K377" s="10">
        <f>SUM(Table6767717413202527374752[[#This Row],[Bus ]:[Wheelchair]])</f>
        <v>7</v>
      </c>
      <c r="V377" s="12"/>
    </row>
    <row r="378" spans="2:22" ht="19.2" x14ac:dyDescent="0.4">
      <c r="B378" s="8" t="s">
        <v>66</v>
      </c>
      <c r="C378" s="8" t="s">
        <v>92</v>
      </c>
      <c r="D378" s="9">
        <v>0</v>
      </c>
      <c r="E378" s="9">
        <v>2</v>
      </c>
      <c r="F378" s="9">
        <v>10</v>
      </c>
      <c r="G378" s="9">
        <v>0</v>
      </c>
      <c r="H378" s="9">
        <v>0</v>
      </c>
      <c r="I378" s="9">
        <v>1</v>
      </c>
      <c r="J378" s="9">
        <v>0</v>
      </c>
      <c r="K378" s="10">
        <f>SUM(Table6767717413202527374752[[#This Row],[Bus ]:[Wheelchair]])</f>
        <v>13</v>
      </c>
      <c r="V378" s="12"/>
    </row>
    <row r="379" spans="2:22" ht="19.2" x14ac:dyDescent="0.4">
      <c r="B379" s="8" t="s">
        <v>193</v>
      </c>
      <c r="C379" s="8" t="s">
        <v>92</v>
      </c>
      <c r="D379" s="9">
        <v>0</v>
      </c>
      <c r="E379" s="9">
        <v>1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10">
        <f>SUM(Table6767717413202527374752[[#This Row],[Bus ]:[Wheelchair]])</f>
        <v>1</v>
      </c>
      <c r="V379" s="12"/>
    </row>
    <row r="380" spans="2:22" ht="20.399999999999999" x14ac:dyDescent="0.4">
      <c r="B380" s="27" t="s">
        <v>20</v>
      </c>
      <c r="C380" s="27"/>
      <c r="D380" s="28">
        <f>SUBTOTAL(109,Table6767717413202527374752[[Bus ]])</f>
        <v>0</v>
      </c>
      <c r="E380" s="28">
        <f>SUBTOTAL(109,Table6767717413202527374752[Cab])</f>
        <v>269</v>
      </c>
      <c r="F380" s="28">
        <f>SUBTOTAL(109,Table6767717413202527374752[GMR])</f>
        <v>148</v>
      </c>
      <c r="G380" s="28">
        <f>SUBTOTAL(109,Table6767717413202527374752[Public Entity])</f>
        <v>2</v>
      </c>
      <c r="H380" s="28">
        <f>SUBTOTAL(109,Table6767717413202527374752[Stretcher])</f>
        <v>1</v>
      </c>
      <c r="I380" s="28">
        <f>SUBTOTAL(109,Table6767717413202527374752[TNC Vendor])</f>
        <v>86</v>
      </c>
      <c r="J380" s="28">
        <f>SUBTOTAL(109,Table6767717413202527374752[Wheelchair])</f>
        <v>5</v>
      </c>
      <c r="K380" s="28">
        <f>SUBTOTAL(109,Table6767717413202527374752[Total])</f>
        <v>511</v>
      </c>
      <c r="V380" s="12"/>
    </row>
    <row r="381" spans="2:22" x14ac:dyDescent="0.4">
      <c r="V381" s="12"/>
    </row>
    <row r="382" spans="2:22" x14ac:dyDescent="0.4">
      <c r="V382" s="12"/>
    </row>
    <row r="383" spans="2:22" ht="19.2" x14ac:dyDescent="0.45">
      <c r="B383" s="38">
        <v>45597</v>
      </c>
      <c r="C383" s="38"/>
      <c r="D383" s="38"/>
      <c r="E383" s="39" t="s">
        <v>22</v>
      </c>
      <c r="F383" s="39"/>
      <c r="G383" s="39"/>
      <c r="H383" s="39"/>
      <c r="I383" s="39"/>
      <c r="J383" s="39"/>
      <c r="K383" s="39"/>
      <c r="L383" s="1"/>
      <c r="M383" s="40">
        <v>45962</v>
      </c>
      <c r="N383" s="40"/>
      <c r="O383" s="40"/>
      <c r="P383" s="41" t="s">
        <v>22</v>
      </c>
      <c r="Q383" s="41"/>
      <c r="R383" s="41"/>
      <c r="S383" s="41"/>
      <c r="T383" s="41"/>
      <c r="U383" s="41"/>
      <c r="V383" s="41"/>
    </row>
    <row r="384" spans="2:22" ht="19.2" x14ac:dyDescent="0.45">
      <c r="B384" s="38"/>
      <c r="C384" s="38"/>
      <c r="D384" s="38"/>
      <c r="E384" s="39"/>
      <c r="F384" s="39"/>
      <c r="G384" s="39"/>
      <c r="H384" s="39"/>
      <c r="I384" s="39"/>
      <c r="J384" s="39"/>
      <c r="K384" s="39"/>
      <c r="L384" s="1"/>
      <c r="M384" s="40"/>
      <c r="N384" s="40"/>
      <c r="O384" s="40"/>
      <c r="P384" s="41"/>
      <c r="Q384" s="41"/>
      <c r="R384" s="41"/>
      <c r="S384" s="41"/>
      <c r="T384" s="41"/>
      <c r="U384" s="41"/>
      <c r="V384" s="41"/>
    </row>
    <row r="385" spans="2:22" ht="20.399999999999999" x14ac:dyDescent="0.4">
      <c r="B385" s="3" t="s">
        <v>23</v>
      </c>
      <c r="C385" s="3" t="s">
        <v>68</v>
      </c>
      <c r="D385" s="4" t="s">
        <v>25</v>
      </c>
      <c r="E385" s="4" t="s">
        <v>0</v>
      </c>
      <c r="F385" s="4" t="s">
        <v>26</v>
      </c>
      <c r="G385" s="4" t="s">
        <v>27</v>
      </c>
      <c r="H385" s="4" t="s">
        <v>1</v>
      </c>
      <c r="I385" s="4" t="s">
        <v>2</v>
      </c>
      <c r="J385" s="4" t="s">
        <v>3</v>
      </c>
      <c r="K385" s="4" t="s">
        <v>20</v>
      </c>
      <c r="M385" s="6" t="s">
        <v>23</v>
      </c>
      <c r="N385" s="6" t="s">
        <v>68</v>
      </c>
      <c r="O385" s="7" t="s">
        <v>25</v>
      </c>
      <c r="P385" s="7" t="s">
        <v>0</v>
      </c>
      <c r="Q385" s="7" t="s">
        <v>26</v>
      </c>
      <c r="R385" s="7" t="s">
        <v>27</v>
      </c>
      <c r="S385" s="7" t="s">
        <v>1</v>
      </c>
      <c r="T385" s="7" t="s">
        <v>2</v>
      </c>
      <c r="U385" s="7" t="s">
        <v>3</v>
      </c>
      <c r="V385" s="7" t="s">
        <v>20</v>
      </c>
    </row>
    <row r="386" spans="2:22" ht="19.2" hidden="1" x14ac:dyDescent="0.4">
      <c r="B386" s="8" t="s">
        <v>64</v>
      </c>
      <c r="C386" s="8" t="s">
        <v>69</v>
      </c>
      <c r="D386" s="9">
        <v>16</v>
      </c>
      <c r="E386" s="9">
        <v>8</v>
      </c>
      <c r="F386" s="9">
        <v>5</v>
      </c>
      <c r="G386" s="9">
        <v>58</v>
      </c>
      <c r="H386" s="9">
        <v>0</v>
      </c>
      <c r="I386" s="9">
        <v>0</v>
      </c>
      <c r="J386" s="9">
        <v>0</v>
      </c>
      <c r="K386" s="10">
        <f>SUM(Table676771741320252737475254[[#This Row],[Bus ]:[Wheelchair]])</f>
        <v>87</v>
      </c>
      <c r="M386" s="8" t="s">
        <v>64</v>
      </c>
      <c r="N386" s="8" t="s">
        <v>69</v>
      </c>
      <c r="O386" s="9">
        <v>0</v>
      </c>
      <c r="P386" s="9">
        <v>0</v>
      </c>
      <c r="Q386" s="9">
        <v>5</v>
      </c>
      <c r="R386" s="9">
        <v>0</v>
      </c>
      <c r="S386" s="9">
        <v>0</v>
      </c>
      <c r="T386" s="9">
        <v>0</v>
      </c>
      <c r="U386" s="9">
        <v>0</v>
      </c>
      <c r="V386" s="10">
        <f>SUM(Table67676972751421263138485355[[#This Row],[Bus ]:[Wheelchair]])</f>
        <v>5</v>
      </c>
    </row>
    <row r="387" spans="2:22" ht="19.2" x14ac:dyDescent="0.4">
      <c r="B387" s="8" t="s">
        <v>43</v>
      </c>
      <c r="C387" s="8" t="s">
        <v>72</v>
      </c>
      <c r="D387" s="9">
        <v>0</v>
      </c>
      <c r="E387" s="9">
        <v>12</v>
      </c>
      <c r="F387" s="9">
        <v>1</v>
      </c>
      <c r="G387" s="9">
        <v>0</v>
      </c>
      <c r="H387" s="9">
        <v>0</v>
      </c>
      <c r="I387" s="9">
        <v>1</v>
      </c>
      <c r="J387" s="9">
        <v>3</v>
      </c>
      <c r="K387" s="10">
        <f>SUM(Table676771741320252737475254[[#This Row],[Bus ]:[Wheelchair]])</f>
        <v>17</v>
      </c>
      <c r="M387" s="8" t="s">
        <v>43</v>
      </c>
      <c r="N387" s="8" t="s">
        <v>72</v>
      </c>
      <c r="O387" s="9">
        <v>0</v>
      </c>
      <c r="P387" s="9">
        <v>63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0">
        <f>SUM(Table67676972751421263138485355[[#This Row],[Bus ]:[Wheelchair]])</f>
        <v>63</v>
      </c>
    </row>
    <row r="388" spans="2:22" ht="19.2" x14ac:dyDescent="0.4">
      <c r="B388" s="8" t="s">
        <v>44</v>
      </c>
      <c r="C388" s="8" t="s">
        <v>72</v>
      </c>
      <c r="D388" s="9">
        <v>0</v>
      </c>
      <c r="E388" s="9">
        <v>19</v>
      </c>
      <c r="F388" s="9">
        <v>2</v>
      </c>
      <c r="G388" s="9">
        <v>0</v>
      </c>
      <c r="H388" s="9">
        <v>0</v>
      </c>
      <c r="I388" s="9">
        <v>2</v>
      </c>
      <c r="J388" s="9">
        <v>0</v>
      </c>
      <c r="K388" s="10">
        <f>SUM(Table676771741320252737475254[[#This Row],[Bus ]:[Wheelchair]])</f>
        <v>23</v>
      </c>
      <c r="M388" s="8" t="s">
        <v>44</v>
      </c>
      <c r="N388" s="8" t="s">
        <v>72</v>
      </c>
      <c r="O388" s="9">
        <v>0</v>
      </c>
      <c r="P388" s="9">
        <v>2</v>
      </c>
      <c r="Q388" s="9">
        <v>1</v>
      </c>
      <c r="R388" s="9">
        <v>0</v>
      </c>
      <c r="S388" s="9">
        <v>0</v>
      </c>
      <c r="T388" s="9">
        <v>0</v>
      </c>
      <c r="U388" s="9">
        <v>0</v>
      </c>
      <c r="V388" s="10">
        <f>SUM(Table67676972751421263138485355[[#This Row],[Bus ]:[Wheelchair]])</f>
        <v>3</v>
      </c>
    </row>
    <row r="389" spans="2:22" ht="19.2" x14ac:dyDescent="0.4">
      <c r="B389" s="8" t="s">
        <v>33</v>
      </c>
      <c r="C389" s="8" t="s">
        <v>74</v>
      </c>
      <c r="D389" s="9">
        <v>0</v>
      </c>
      <c r="E389" s="9">
        <v>6</v>
      </c>
      <c r="F389" s="9">
        <v>0</v>
      </c>
      <c r="G389" s="9">
        <v>0</v>
      </c>
      <c r="H389" s="9">
        <v>0</v>
      </c>
      <c r="I389" s="9">
        <v>1</v>
      </c>
      <c r="J389" s="9">
        <v>0</v>
      </c>
      <c r="K389" s="10">
        <f>SUM(Table676771741320252737475254[[#This Row],[Bus ]:[Wheelchair]])</f>
        <v>7</v>
      </c>
      <c r="M389" s="8" t="s">
        <v>125</v>
      </c>
      <c r="N389" s="8" t="s">
        <v>72</v>
      </c>
      <c r="O389" s="9">
        <v>0</v>
      </c>
      <c r="P389" s="9">
        <v>1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0">
        <f>SUM(Table67676972751421263138485355[[#This Row],[Bus ]:[Wheelchair]])</f>
        <v>1</v>
      </c>
    </row>
    <row r="390" spans="2:22" ht="19.2" x14ac:dyDescent="0.4">
      <c r="B390" s="8" t="s">
        <v>38</v>
      </c>
      <c r="C390" s="8" t="s">
        <v>74</v>
      </c>
      <c r="D390" s="9">
        <v>0</v>
      </c>
      <c r="E390" s="9">
        <v>2</v>
      </c>
      <c r="F390" s="9">
        <v>0</v>
      </c>
      <c r="G390" s="9">
        <v>0</v>
      </c>
      <c r="H390" s="9">
        <v>0</v>
      </c>
      <c r="I390" s="9">
        <v>0</v>
      </c>
      <c r="J390" s="9">
        <v>0</v>
      </c>
      <c r="K390" s="10">
        <f>SUM(Table676771741320252737475254[[#This Row],[Bus ]:[Wheelchair]])</f>
        <v>2</v>
      </c>
      <c r="M390" s="8" t="s">
        <v>171</v>
      </c>
      <c r="N390" s="8" t="s">
        <v>72</v>
      </c>
      <c r="O390" s="9">
        <v>0</v>
      </c>
      <c r="P390" s="9">
        <v>1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0">
        <f>SUM(Table67676972751421263138485355[[#This Row],[Bus ]:[Wheelchair]])</f>
        <v>1</v>
      </c>
    </row>
    <row r="391" spans="2:22" ht="19.2" x14ac:dyDescent="0.4">
      <c r="B391" s="8" t="s">
        <v>105</v>
      </c>
      <c r="C391" s="8" t="s">
        <v>74</v>
      </c>
      <c r="D391" s="9">
        <v>0</v>
      </c>
      <c r="E391" s="9">
        <v>12</v>
      </c>
      <c r="F391" s="9">
        <v>0</v>
      </c>
      <c r="G391" s="9">
        <v>0</v>
      </c>
      <c r="H391" s="9">
        <v>0</v>
      </c>
      <c r="I391" s="9">
        <v>0</v>
      </c>
      <c r="J391" s="9">
        <v>0</v>
      </c>
      <c r="K391" s="10">
        <f>SUM(Table676771741320252737475254[[#This Row],[Bus ]:[Wheelchair]])</f>
        <v>12</v>
      </c>
      <c r="M391" s="8" t="s">
        <v>33</v>
      </c>
      <c r="N391" s="8" t="s">
        <v>74</v>
      </c>
      <c r="O391" s="9">
        <v>0</v>
      </c>
      <c r="P391" s="9">
        <v>0</v>
      </c>
      <c r="Q391" s="9">
        <v>1</v>
      </c>
      <c r="R391" s="9">
        <v>0</v>
      </c>
      <c r="S391" s="9">
        <v>0</v>
      </c>
      <c r="T391" s="9">
        <v>0</v>
      </c>
      <c r="U391" s="9">
        <v>0</v>
      </c>
      <c r="V391" s="10">
        <f>SUM(Table67676972751421263138485355[[#This Row],[Bus ]:[Wheelchair]])</f>
        <v>1</v>
      </c>
    </row>
    <row r="392" spans="2:22" ht="19.2" x14ac:dyDescent="0.4">
      <c r="B392" s="8" t="s">
        <v>42</v>
      </c>
      <c r="C392" s="8" t="s">
        <v>74</v>
      </c>
      <c r="D392" s="9">
        <v>0</v>
      </c>
      <c r="E392" s="9">
        <v>106</v>
      </c>
      <c r="F392" s="9">
        <v>21</v>
      </c>
      <c r="G392" s="9">
        <v>1</v>
      </c>
      <c r="H392" s="9">
        <v>0</v>
      </c>
      <c r="I392" s="9">
        <v>18</v>
      </c>
      <c r="J392" s="9">
        <v>5</v>
      </c>
      <c r="K392" s="10">
        <f>SUM(Table676771741320252737475254[[#This Row],[Bus ]:[Wheelchair]])</f>
        <v>151</v>
      </c>
      <c r="M392" s="8" t="s">
        <v>38</v>
      </c>
      <c r="N392" s="8" t="s">
        <v>74</v>
      </c>
      <c r="O392" s="9">
        <v>0</v>
      </c>
      <c r="P392" s="9">
        <v>3</v>
      </c>
      <c r="Q392" s="9">
        <v>1</v>
      </c>
      <c r="R392" s="9">
        <v>0</v>
      </c>
      <c r="S392" s="9">
        <v>0</v>
      </c>
      <c r="T392" s="9">
        <v>0</v>
      </c>
      <c r="U392" s="9">
        <v>0</v>
      </c>
      <c r="V392" s="10">
        <f>SUM(Table67676972751421263138485355[[#This Row],[Bus ]:[Wheelchair]])</f>
        <v>4</v>
      </c>
    </row>
    <row r="393" spans="2:22" ht="19.2" x14ac:dyDescent="0.4">
      <c r="B393" s="8" t="s">
        <v>75</v>
      </c>
      <c r="C393" s="8" t="s">
        <v>74</v>
      </c>
      <c r="D393" s="9">
        <v>0</v>
      </c>
      <c r="E393" s="9">
        <v>1</v>
      </c>
      <c r="F393" s="9">
        <v>0</v>
      </c>
      <c r="G393" s="9">
        <v>0</v>
      </c>
      <c r="H393" s="9">
        <v>0</v>
      </c>
      <c r="I393" s="9">
        <v>0</v>
      </c>
      <c r="J393" s="9">
        <v>0</v>
      </c>
      <c r="K393" s="10">
        <f>SUM(Table676771741320252737475254[[#This Row],[Bus ]:[Wheelchair]])</f>
        <v>1</v>
      </c>
      <c r="M393" s="8" t="s">
        <v>42</v>
      </c>
      <c r="N393" s="8" t="s">
        <v>74</v>
      </c>
      <c r="O393" s="9">
        <v>0</v>
      </c>
      <c r="P393" s="9">
        <v>20</v>
      </c>
      <c r="Q393" s="9">
        <v>14</v>
      </c>
      <c r="R393" s="9">
        <v>3</v>
      </c>
      <c r="S393" s="9">
        <v>5</v>
      </c>
      <c r="T393" s="9">
        <v>1</v>
      </c>
      <c r="U393" s="9">
        <v>0</v>
      </c>
      <c r="V393" s="10">
        <f>SUM(Table67676972751421263138485355[[#This Row],[Bus ]:[Wheelchair]])</f>
        <v>43</v>
      </c>
    </row>
    <row r="394" spans="2:22" ht="19.2" x14ac:dyDescent="0.4">
      <c r="B394" s="8" t="s">
        <v>76</v>
      </c>
      <c r="C394" s="8" t="s">
        <v>74</v>
      </c>
      <c r="D394" s="9">
        <v>0</v>
      </c>
      <c r="E394" s="9">
        <v>2</v>
      </c>
      <c r="F394" s="9">
        <v>0</v>
      </c>
      <c r="G394" s="9">
        <v>0</v>
      </c>
      <c r="H394" s="9">
        <v>0</v>
      </c>
      <c r="I394" s="9">
        <v>0</v>
      </c>
      <c r="J394" s="9">
        <v>0</v>
      </c>
      <c r="K394" s="10">
        <f>SUM(Table676771741320252737475254[[#This Row],[Bus ]:[Wheelchair]])</f>
        <v>2</v>
      </c>
      <c r="M394" s="8" t="s">
        <v>76</v>
      </c>
      <c r="N394" s="8" t="s">
        <v>74</v>
      </c>
      <c r="O394" s="9">
        <v>0</v>
      </c>
      <c r="P394" s="9">
        <v>1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0">
        <f>SUM(Table67676972751421263138485355[[#This Row],[Bus ]:[Wheelchair]])</f>
        <v>1</v>
      </c>
    </row>
    <row r="395" spans="2:22" ht="19.2" x14ac:dyDescent="0.4">
      <c r="B395" s="8" t="s">
        <v>52</v>
      </c>
      <c r="C395" s="8" t="s">
        <v>74</v>
      </c>
      <c r="D395" s="9">
        <v>0</v>
      </c>
      <c r="E395" s="9">
        <v>10</v>
      </c>
      <c r="F395" s="9">
        <v>0</v>
      </c>
      <c r="G395" s="9">
        <v>0</v>
      </c>
      <c r="H395" s="9">
        <v>0</v>
      </c>
      <c r="I395" s="9">
        <v>0</v>
      </c>
      <c r="J395" s="9">
        <v>0</v>
      </c>
      <c r="K395" s="10">
        <f>SUM(Table676771741320252737475254[[#This Row],[Bus ]:[Wheelchair]])</f>
        <v>10</v>
      </c>
      <c r="M395" s="8" t="s">
        <v>52</v>
      </c>
      <c r="N395" s="8" t="s">
        <v>74</v>
      </c>
      <c r="O395" s="9">
        <v>0</v>
      </c>
      <c r="P395" s="9">
        <v>2</v>
      </c>
      <c r="Q395" s="9">
        <v>1</v>
      </c>
      <c r="R395" s="9">
        <v>0</v>
      </c>
      <c r="S395" s="9">
        <v>0</v>
      </c>
      <c r="T395" s="9">
        <v>0</v>
      </c>
      <c r="U395" s="9">
        <v>0</v>
      </c>
      <c r="V395" s="10">
        <f>SUM(Table67676972751421263138485355[[#This Row],[Bus ]:[Wheelchair]])</f>
        <v>3</v>
      </c>
    </row>
    <row r="396" spans="2:22" ht="19.2" x14ac:dyDescent="0.4">
      <c r="B396" s="8" t="s">
        <v>56</v>
      </c>
      <c r="C396" s="8" t="s">
        <v>74</v>
      </c>
      <c r="D396" s="9">
        <v>0</v>
      </c>
      <c r="E396" s="9">
        <v>3</v>
      </c>
      <c r="F396" s="9">
        <v>4</v>
      </c>
      <c r="G396" s="9">
        <v>0</v>
      </c>
      <c r="H396" s="9">
        <v>0</v>
      </c>
      <c r="I396" s="9">
        <v>3</v>
      </c>
      <c r="J396" s="9">
        <v>0</v>
      </c>
      <c r="K396" s="10">
        <f>SUM(Table676771741320252737475254[[#This Row],[Bus ]:[Wheelchair]])</f>
        <v>10</v>
      </c>
      <c r="M396" s="8" t="s">
        <v>56</v>
      </c>
      <c r="N396" s="8" t="s">
        <v>74</v>
      </c>
      <c r="O396" s="9">
        <v>0</v>
      </c>
      <c r="P396" s="9">
        <v>1</v>
      </c>
      <c r="Q396" s="9">
        <v>4</v>
      </c>
      <c r="R396" s="9">
        <v>0</v>
      </c>
      <c r="S396" s="9">
        <v>0</v>
      </c>
      <c r="T396" s="9">
        <v>0</v>
      </c>
      <c r="U396" s="9">
        <v>0</v>
      </c>
      <c r="V396" s="10">
        <f>SUM(Table67676972751421263138485355[[#This Row],[Bus ]:[Wheelchair]])</f>
        <v>5</v>
      </c>
    </row>
    <row r="397" spans="2:22" ht="19.2" x14ac:dyDescent="0.4">
      <c r="B397" s="8" t="s">
        <v>57</v>
      </c>
      <c r="C397" s="8" t="s">
        <v>74</v>
      </c>
      <c r="D397" s="9">
        <v>0</v>
      </c>
      <c r="E397" s="9">
        <v>0</v>
      </c>
      <c r="F397" s="9">
        <v>2</v>
      </c>
      <c r="G397" s="9">
        <v>0</v>
      </c>
      <c r="H397" s="9">
        <v>0</v>
      </c>
      <c r="I397" s="9">
        <v>1</v>
      </c>
      <c r="J397" s="9">
        <v>1</v>
      </c>
      <c r="K397" s="10">
        <f>SUM(Table676771741320252737475254[[#This Row],[Bus ]:[Wheelchair]])</f>
        <v>4</v>
      </c>
      <c r="M397" s="8" t="s">
        <v>57</v>
      </c>
      <c r="N397" s="8" t="s">
        <v>74</v>
      </c>
      <c r="O397" s="9">
        <v>0</v>
      </c>
      <c r="P397" s="9">
        <v>0</v>
      </c>
      <c r="Q397" s="9">
        <v>1</v>
      </c>
      <c r="R397" s="9">
        <v>0</v>
      </c>
      <c r="S397" s="9">
        <v>0</v>
      </c>
      <c r="T397" s="9">
        <v>0</v>
      </c>
      <c r="U397" s="9">
        <v>0</v>
      </c>
      <c r="V397" s="10">
        <f>SUM(Table67676972751421263138485355[[#This Row],[Bus ]:[Wheelchair]])</f>
        <v>1</v>
      </c>
    </row>
    <row r="398" spans="2:22" ht="19.2" x14ac:dyDescent="0.4">
      <c r="B398" s="8" t="s">
        <v>59</v>
      </c>
      <c r="C398" s="8" t="s">
        <v>74</v>
      </c>
      <c r="D398" s="9">
        <v>0</v>
      </c>
      <c r="E398" s="9">
        <v>5</v>
      </c>
      <c r="F398" s="9">
        <v>2</v>
      </c>
      <c r="G398" s="9">
        <v>0</v>
      </c>
      <c r="H398" s="9">
        <v>0</v>
      </c>
      <c r="I398" s="9">
        <v>0</v>
      </c>
      <c r="J398" s="9">
        <v>0</v>
      </c>
      <c r="K398" s="10">
        <f>SUM(Table676771741320252737475254[[#This Row],[Bus ]:[Wheelchair]])</f>
        <v>7</v>
      </c>
      <c r="M398" s="8" t="s">
        <v>131</v>
      </c>
      <c r="N398" s="8" t="s">
        <v>74</v>
      </c>
      <c r="O398" s="9">
        <v>0</v>
      </c>
      <c r="P398" s="9">
        <v>2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0">
        <f>SUM(Table67676972751421263138485355[[#This Row],[Bus ]:[Wheelchair]])</f>
        <v>2</v>
      </c>
    </row>
    <row r="399" spans="2:22" ht="19.2" x14ac:dyDescent="0.4">
      <c r="B399" s="8" t="s">
        <v>60</v>
      </c>
      <c r="C399" s="8" t="s">
        <v>74</v>
      </c>
      <c r="D399" s="9">
        <v>0</v>
      </c>
      <c r="E399" s="9">
        <v>6</v>
      </c>
      <c r="F399" s="9">
        <v>3</v>
      </c>
      <c r="G399" s="9">
        <v>0</v>
      </c>
      <c r="H399" s="9">
        <v>3</v>
      </c>
      <c r="I399" s="9">
        <v>4</v>
      </c>
      <c r="J399" s="9">
        <v>0</v>
      </c>
      <c r="K399" s="10">
        <f>SUM(Table676771741320252737475254[[#This Row],[Bus ]:[Wheelchair]])</f>
        <v>16</v>
      </c>
      <c r="M399" s="8" t="s">
        <v>59</v>
      </c>
      <c r="N399" s="8" t="s">
        <v>74</v>
      </c>
      <c r="O399" s="9">
        <v>0</v>
      </c>
      <c r="P399" s="9">
        <v>12</v>
      </c>
      <c r="Q399" s="9">
        <v>0</v>
      </c>
      <c r="R399" s="9">
        <v>0</v>
      </c>
      <c r="S399" s="9">
        <v>0</v>
      </c>
      <c r="T399" s="9">
        <v>1</v>
      </c>
      <c r="U399" s="9">
        <v>0</v>
      </c>
      <c r="V399" s="10">
        <f>SUM(Table67676972751421263138485355[[#This Row],[Bus ]:[Wheelchair]])</f>
        <v>13</v>
      </c>
    </row>
    <row r="400" spans="2:22" ht="19.2" x14ac:dyDescent="0.4">
      <c r="B400" s="8" t="s">
        <v>111</v>
      </c>
      <c r="C400" s="8" t="s">
        <v>77</v>
      </c>
      <c r="D400" s="9">
        <v>0</v>
      </c>
      <c r="E400" s="9">
        <v>1</v>
      </c>
      <c r="F400" s="9">
        <v>0</v>
      </c>
      <c r="G400" s="9">
        <v>0</v>
      </c>
      <c r="H400" s="9">
        <v>0</v>
      </c>
      <c r="I400" s="9">
        <v>0</v>
      </c>
      <c r="J400" s="9">
        <v>0</v>
      </c>
      <c r="K400" s="10">
        <f>SUM(Table676771741320252737475254[[#This Row],[Bus ]:[Wheelchair]])</f>
        <v>1</v>
      </c>
      <c r="M400" s="8" t="s">
        <v>60</v>
      </c>
      <c r="N400" s="8" t="s">
        <v>74</v>
      </c>
      <c r="O400" s="9">
        <v>0</v>
      </c>
      <c r="P400" s="9">
        <v>2</v>
      </c>
      <c r="Q400" s="9">
        <v>5</v>
      </c>
      <c r="R400" s="9">
        <v>0</v>
      </c>
      <c r="S400" s="9">
        <v>0</v>
      </c>
      <c r="T400" s="9">
        <v>0</v>
      </c>
      <c r="U400" s="9">
        <v>0</v>
      </c>
      <c r="V400" s="10">
        <f>SUM(Table67676972751421263138485355[[#This Row],[Bus ]:[Wheelchair]])</f>
        <v>7</v>
      </c>
    </row>
    <row r="401" spans="2:22" ht="19.2" x14ac:dyDescent="0.4">
      <c r="B401" s="8" t="s">
        <v>112</v>
      </c>
      <c r="C401" s="8" t="s">
        <v>78</v>
      </c>
      <c r="D401" s="9">
        <v>0</v>
      </c>
      <c r="E401" s="9">
        <v>4</v>
      </c>
      <c r="F401" s="9">
        <v>0</v>
      </c>
      <c r="G401" s="9">
        <v>0</v>
      </c>
      <c r="H401" s="9">
        <v>0</v>
      </c>
      <c r="I401" s="9">
        <v>0</v>
      </c>
      <c r="J401" s="9">
        <v>0</v>
      </c>
      <c r="K401" s="10">
        <f>SUM(Table676771741320252737475254[[#This Row],[Bus ]:[Wheelchair]])</f>
        <v>4</v>
      </c>
      <c r="M401" s="8" t="s">
        <v>111</v>
      </c>
      <c r="N401" s="8" t="s">
        <v>77</v>
      </c>
      <c r="O401" s="9">
        <v>0</v>
      </c>
      <c r="P401" s="9">
        <v>1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0">
        <f>SUM(Table67676972751421263138485355[[#This Row],[Bus ]:[Wheelchair]])</f>
        <v>1</v>
      </c>
    </row>
    <row r="402" spans="2:22" ht="19.2" x14ac:dyDescent="0.4">
      <c r="B402" s="8" t="s">
        <v>195</v>
      </c>
      <c r="C402" s="8" t="s">
        <v>194</v>
      </c>
      <c r="D402" s="9">
        <v>0</v>
      </c>
      <c r="E402" s="9">
        <v>2</v>
      </c>
      <c r="F402" s="9">
        <v>1</v>
      </c>
      <c r="G402" s="9">
        <v>0</v>
      </c>
      <c r="H402" s="9">
        <v>0</v>
      </c>
      <c r="I402" s="9">
        <v>0</v>
      </c>
      <c r="J402" s="9">
        <v>0</v>
      </c>
      <c r="K402" s="10">
        <f>SUM(Table676771741320252737475254[[#This Row],[Bus ]:[Wheelchair]])</f>
        <v>3</v>
      </c>
      <c r="M402" s="8" t="s">
        <v>142</v>
      </c>
      <c r="N402" s="8" t="s">
        <v>77</v>
      </c>
      <c r="O402" s="9">
        <v>0</v>
      </c>
      <c r="P402" s="9">
        <v>1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0">
        <f>SUM(Table67676972751421263138485355[[#This Row],[Bus ]:[Wheelchair]])</f>
        <v>1</v>
      </c>
    </row>
    <row r="403" spans="2:22" ht="19.2" x14ac:dyDescent="0.4">
      <c r="B403" s="8" t="s">
        <v>196</v>
      </c>
      <c r="C403" s="8" t="s">
        <v>127</v>
      </c>
      <c r="D403" s="9">
        <v>0</v>
      </c>
      <c r="E403" s="9">
        <v>1</v>
      </c>
      <c r="F403" s="9">
        <v>0</v>
      </c>
      <c r="G403" s="9">
        <v>0</v>
      </c>
      <c r="H403" s="9">
        <v>0</v>
      </c>
      <c r="I403" s="9">
        <v>0</v>
      </c>
      <c r="J403" s="9">
        <v>0</v>
      </c>
      <c r="K403" s="10">
        <f>SUM(Table676771741320252737475254[[#This Row],[Bus ]:[Wheelchair]])</f>
        <v>1</v>
      </c>
      <c r="M403" s="8" t="s">
        <v>195</v>
      </c>
      <c r="N403" s="8" t="s">
        <v>194</v>
      </c>
      <c r="O403" s="9">
        <v>0</v>
      </c>
      <c r="P403" s="9">
        <v>2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0">
        <f>SUM(Table67676972751421263138485355[[#This Row],[Bus ]:[Wheelchair]])</f>
        <v>2</v>
      </c>
    </row>
    <row r="404" spans="2:22" ht="19.2" x14ac:dyDescent="0.4">
      <c r="B404" s="8" t="s">
        <v>63</v>
      </c>
      <c r="C404" s="8" t="s">
        <v>79</v>
      </c>
      <c r="D404" s="9">
        <v>0</v>
      </c>
      <c r="E404" s="9">
        <v>2</v>
      </c>
      <c r="F404" s="9">
        <v>0</v>
      </c>
      <c r="G404" s="9">
        <v>0</v>
      </c>
      <c r="H404" s="9">
        <v>0</v>
      </c>
      <c r="I404" s="9">
        <v>0</v>
      </c>
      <c r="J404" s="9">
        <v>0</v>
      </c>
      <c r="K404" s="10">
        <f>SUM(Table676771741320252737475254[[#This Row],[Bus ]:[Wheelchair]])</f>
        <v>2</v>
      </c>
      <c r="M404" s="8" t="s">
        <v>39</v>
      </c>
      <c r="N404" s="8" t="s">
        <v>79</v>
      </c>
      <c r="O404" s="9">
        <v>0</v>
      </c>
      <c r="P404" s="9">
        <v>1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0">
        <f>SUM(Table67676972751421263138485355[[#This Row],[Bus ]:[Wheelchair]])</f>
        <v>1</v>
      </c>
    </row>
    <row r="405" spans="2:22" ht="19.2" x14ac:dyDescent="0.4">
      <c r="B405" s="8" t="s">
        <v>197</v>
      </c>
      <c r="C405" s="8" t="s">
        <v>80</v>
      </c>
      <c r="D405" s="9">
        <v>0</v>
      </c>
      <c r="E405" s="9">
        <v>2</v>
      </c>
      <c r="F405" s="9">
        <v>0</v>
      </c>
      <c r="G405" s="9">
        <v>0</v>
      </c>
      <c r="H405" s="9">
        <v>0</v>
      </c>
      <c r="I405" s="9">
        <v>0</v>
      </c>
      <c r="J405" s="9">
        <v>0</v>
      </c>
      <c r="K405" s="10">
        <f>SUM(Table676771741320252737475254[[#This Row],[Bus ]:[Wheelchair]])</f>
        <v>2</v>
      </c>
      <c r="M405" s="8" t="s">
        <v>63</v>
      </c>
      <c r="N405" s="8" t="s">
        <v>79</v>
      </c>
      <c r="O405" s="9">
        <v>0</v>
      </c>
      <c r="P405" s="9">
        <v>0</v>
      </c>
      <c r="Q405" s="9">
        <v>3</v>
      </c>
      <c r="R405" s="9">
        <v>0</v>
      </c>
      <c r="S405" s="9">
        <v>0</v>
      </c>
      <c r="T405" s="9">
        <v>0</v>
      </c>
      <c r="U405" s="9">
        <v>1</v>
      </c>
      <c r="V405" s="10">
        <f>SUM(Table67676972751421263138485355[[#This Row],[Bus ]:[Wheelchair]])</f>
        <v>4</v>
      </c>
    </row>
    <row r="406" spans="2:22" ht="19.2" x14ac:dyDescent="0.4">
      <c r="B406" s="8" t="s">
        <v>168</v>
      </c>
      <c r="C406" s="8" t="s">
        <v>165</v>
      </c>
      <c r="D406" s="9">
        <v>0</v>
      </c>
      <c r="E406" s="9">
        <v>1</v>
      </c>
      <c r="F406" s="9">
        <v>0</v>
      </c>
      <c r="G406" s="9">
        <v>0</v>
      </c>
      <c r="H406" s="9">
        <v>0</v>
      </c>
      <c r="I406" s="9">
        <v>0</v>
      </c>
      <c r="J406" s="9">
        <v>0</v>
      </c>
      <c r="K406" s="10">
        <f>SUM(Table676771741320252737475254[[#This Row],[Bus ]:[Wheelchair]])</f>
        <v>1</v>
      </c>
      <c r="M406" s="8" t="s">
        <v>198</v>
      </c>
      <c r="N406" s="8" t="s">
        <v>165</v>
      </c>
      <c r="O406" s="9">
        <v>0</v>
      </c>
      <c r="P406" s="9">
        <v>0</v>
      </c>
      <c r="Q406" s="9">
        <v>1</v>
      </c>
      <c r="R406" s="9">
        <v>0</v>
      </c>
      <c r="S406" s="9">
        <v>0</v>
      </c>
      <c r="T406" s="9">
        <v>0</v>
      </c>
      <c r="U406" s="9">
        <v>0</v>
      </c>
      <c r="V406" s="10">
        <f>SUM(Table67676972751421263138485355[[#This Row],[Bus ]:[Wheelchair]])</f>
        <v>1</v>
      </c>
    </row>
    <row r="407" spans="2:22" ht="19.2" x14ac:dyDescent="0.4">
      <c r="B407" s="8" t="s">
        <v>199</v>
      </c>
      <c r="C407" s="8" t="s">
        <v>108</v>
      </c>
      <c r="D407" s="9">
        <v>0</v>
      </c>
      <c r="E407" s="9">
        <v>1</v>
      </c>
      <c r="F407" s="9">
        <v>0</v>
      </c>
      <c r="G407" s="9">
        <v>0</v>
      </c>
      <c r="H407" s="9">
        <v>0</v>
      </c>
      <c r="I407" s="9">
        <v>0</v>
      </c>
      <c r="J407" s="9">
        <v>0</v>
      </c>
      <c r="K407" s="10">
        <f>SUM(Table676771741320252737475254[[#This Row],[Bus ]:[Wheelchair]])</f>
        <v>1</v>
      </c>
      <c r="M407" s="8" t="s">
        <v>160</v>
      </c>
      <c r="N407" s="8" t="s">
        <v>158</v>
      </c>
      <c r="O407" s="9">
        <v>0</v>
      </c>
      <c r="P407" s="9">
        <v>1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0">
        <f>SUM(Table67676972751421263138485355[[#This Row],[Bus ]:[Wheelchair]])</f>
        <v>1</v>
      </c>
    </row>
    <row r="408" spans="2:22" ht="19.2" x14ac:dyDescent="0.4">
      <c r="B408" s="8" t="s">
        <v>200</v>
      </c>
      <c r="C408" s="8" t="s">
        <v>108</v>
      </c>
      <c r="D408" s="9">
        <v>0</v>
      </c>
      <c r="E408" s="9">
        <v>1</v>
      </c>
      <c r="F408" s="9">
        <v>0</v>
      </c>
      <c r="G408" s="9">
        <v>0</v>
      </c>
      <c r="H408" s="9">
        <v>0</v>
      </c>
      <c r="I408" s="9">
        <v>0</v>
      </c>
      <c r="J408" s="9">
        <v>0</v>
      </c>
      <c r="K408" s="10">
        <f>SUM(Table676771741320252737475254[[#This Row],[Bus ]:[Wheelchair]])</f>
        <v>1</v>
      </c>
      <c r="M408" s="8" t="s">
        <v>53</v>
      </c>
      <c r="N408" s="8" t="s">
        <v>81</v>
      </c>
      <c r="O408" s="9">
        <v>0</v>
      </c>
      <c r="P408" s="9">
        <v>2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0">
        <f>SUM(Table67676972751421263138485355[[#This Row],[Bus ]:[Wheelchair]])</f>
        <v>2</v>
      </c>
    </row>
    <row r="409" spans="2:22" ht="19.2" x14ac:dyDescent="0.4">
      <c r="B409" s="8" t="s">
        <v>97</v>
      </c>
      <c r="C409" s="8" t="s">
        <v>81</v>
      </c>
      <c r="D409" s="9">
        <v>0</v>
      </c>
      <c r="E409" s="9">
        <v>3</v>
      </c>
      <c r="F409" s="9">
        <v>4</v>
      </c>
      <c r="G409" s="9">
        <v>0</v>
      </c>
      <c r="H409" s="9">
        <v>0</v>
      </c>
      <c r="I409" s="9">
        <v>0</v>
      </c>
      <c r="J409" s="9">
        <v>0</v>
      </c>
      <c r="K409" s="10">
        <f>SUM(Table676771741320252737475254[[#This Row],[Bus ]:[Wheelchair]])</f>
        <v>7</v>
      </c>
      <c r="M409" s="8" t="s">
        <v>32</v>
      </c>
      <c r="N409" s="8" t="s">
        <v>87</v>
      </c>
      <c r="O409" s="9">
        <v>0</v>
      </c>
      <c r="P409" s="9">
        <v>2</v>
      </c>
      <c r="Q409" s="9">
        <v>0</v>
      </c>
      <c r="R409" s="9">
        <v>0</v>
      </c>
      <c r="S409" s="9">
        <v>0</v>
      </c>
      <c r="T409" s="9">
        <v>0</v>
      </c>
      <c r="U409" s="9">
        <v>2</v>
      </c>
      <c r="V409" s="10">
        <f>SUM(Table67676972751421263138485355[[#This Row],[Bus ]:[Wheelchair]])</f>
        <v>4</v>
      </c>
    </row>
    <row r="410" spans="2:22" ht="19.2" x14ac:dyDescent="0.4">
      <c r="B410" s="8" t="s">
        <v>180</v>
      </c>
      <c r="C410" s="8" t="s">
        <v>83</v>
      </c>
      <c r="D410" s="9">
        <v>0</v>
      </c>
      <c r="E410" s="9">
        <v>2</v>
      </c>
      <c r="F410" s="9">
        <v>0</v>
      </c>
      <c r="G410" s="9">
        <v>0</v>
      </c>
      <c r="H410" s="9">
        <v>0</v>
      </c>
      <c r="I410" s="9">
        <v>0</v>
      </c>
      <c r="J410" s="9">
        <v>0</v>
      </c>
      <c r="K410" s="10">
        <f>SUM(Table676771741320252737475254[[#This Row],[Bus ]:[Wheelchair]])</f>
        <v>2</v>
      </c>
      <c r="M410" s="8" t="s">
        <v>47</v>
      </c>
      <c r="N410" s="8" t="s">
        <v>87</v>
      </c>
      <c r="O410" s="9">
        <v>0</v>
      </c>
      <c r="P410" s="9">
        <v>1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0">
        <f>SUM(Table67676972751421263138485355[[#This Row],[Bus ]:[Wheelchair]])</f>
        <v>1</v>
      </c>
    </row>
    <row r="411" spans="2:22" ht="19.2" x14ac:dyDescent="0.4">
      <c r="B411" s="8" t="s">
        <v>201</v>
      </c>
      <c r="C411" s="8" t="s">
        <v>173</v>
      </c>
      <c r="D411" s="9">
        <v>0</v>
      </c>
      <c r="E411" s="9">
        <v>0</v>
      </c>
      <c r="F411" s="9">
        <v>1</v>
      </c>
      <c r="G411" s="9">
        <v>0</v>
      </c>
      <c r="H411" s="9">
        <v>0</v>
      </c>
      <c r="I411" s="9">
        <v>0</v>
      </c>
      <c r="J411" s="9">
        <v>0</v>
      </c>
      <c r="K411" s="10">
        <f>SUM(Table676771741320252737475254[[#This Row],[Bus ]:[Wheelchair]])</f>
        <v>1</v>
      </c>
      <c r="M411" s="8" t="s">
        <v>50</v>
      </c>
      <c r="N411" s="8" t="s">
        <v>87</v>
      </c>
      <c r="O411" s="9">
        <v>0</v>
      </c>
      <c r="P411" s="9">
        <v>0</v>
      </c>
      <c r="Q411" s="9">
        <v>3</v>
      </c>
      <c r="R411" s="9">
        <v>0</v>
      </c>
      <c r="S411" s="9">
        <v>0</v>
      </c>
      <c r="T411" s="9">
        <v>0</v>
      </c>
      <c r="U411" s="9">
        <v>0</v>
      </c>
      <c r="V411" s="10">
        <f>SUM(Table67676972751421263138485355[[#This Row],[Bus ]:[Wheelchair]])</f>
        <v>3</v>
      </c>
    </row>
    <row r="412" spans="2:22" ht="19.2" x14ac:dyDescent="0.4">
      <c r="B412" s="8" t="s">
        <v>32</v>
      </c>
      <c r="C412" s="8" t="s">
        <v>87</v>
      </c>
      <c r="D412" s="9">
        <v>0</v>
      </c>
      <c r="E412" s="9">
        <v>1</v>
      </c>
      <c r="F412" s="9">
        <v>14</v>
      </c>
      <c r="G412" s="9">
        <v>0</v>
      </c>
      <c r="H412" s="9">
        <v>0</v>
      </c>
      <c r="I412" s="9">
        <v>0</v>
      </c>
      <c r="J412" s="9">
        <v>0</v>
      </c>
      <c r="K412" s="10">
        <f>SUM(Table676771741320252737475254[[#This Row],[Bus ]:[Wheelchair]])</f>
        <v>15</v>
      </c>
      <c r="M412" s="8" t="s">
        <v>132</v>
      </c>
      <c r="N412" s="8" t="s">
        <v>115</v>
      </c>
      <c r="O412" s="9">
        <v>0</v>
      </c>
      <c r="P412" s="9">
        <v>0</v>
      </c>
      <c r="Q412" s="9">
        <v>1</v>
      </c>
      <c r="R412" s="9">
        <v>0</v>
      </c>
      <c r="S412" s="9">
        <v>0</v>
      </c>
      <c r="T412" s="9">
        <v>0</v>
      </c>
      <c r="U412" s="9">
        <v>0</v>
      </c>
      <c r="V412" s="10">
        <f>SUM(Table67676972751421263138485355[[#This Row],[Bus ]:[Wheelchair]])</f>
        <v>1</v>
      </c>
    </row>
    <row r="413" spans="2:22" ht="19.2" x14ac:dyDescent="0.4">
      <c r="B413" s="8" t="s">
        <v>202</v>
      </c>
      <c r="C413" s="8" t="s">
        <v>128</v>
      </c>
      <c r="D413" s="9">
        <v>0</v>
      </c>
      <c r="E413" s="9">
        <v>0</v>
      </c>
      <c r="F413" s="9">
        <v>1</v>
      </c>
      <c r="G413" s="9">
        <v>0</v>
      </c>
      <c r="H413" s="9">
        <v>0</v>
      </c>
      <c r="I413" s="9">
        <v>0</v>
      </c>
      <c r="J413" s="9">
        <v>0</v>
      </c>
      <c r="K413" s="10">
        <f>SUM(Table676771741320252737475254[[#This Row],[Bus ]:[Wheelchair]])</f>
        <v>1</v>
      </c>
      <c r="M413" s="8" t="s">
        <v>162</v>
      </c>
      <c r="N413" s="8" t="s">
        <v>128</v>
      </c>
      <c r="O413" s="9">
        <v>0</v>
      </c>
      <c r="P413" s="9">
        <v>2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0">
        <f>SUM(Table67676972751421263138485355[[#This Row],[Bus ]:[Wheelchair]])</f>
        <v>2</v>
      </c>
    </row>
    <row r="414" spans="2:22" ht="19.2" x14ac:dyDescent="0.4">
      <c r="B414" s="8" t="s">
        <v>62</v>
      </c>
      <c r="C414" s="8" t="s">
        <v>128</v>
      </c>
      <c r="D414" s="9">
        <v>0</v>
      </c>
      <c r="E414" s="9">
        <v>1</v>
      </c>
      <c r="F414" s="9">
        <v>6</v>
      </c>
      <c r="G414" s="9">
        <v>0</v>
      </c>
      <c r="H414" s="9">
        <v>0</v>
      </c>
      <c r="I414" s="9">
        <v>0</v>
      </c>
      <c r="J414" s="9">
        <v>0</v>
      </c>
      <c r="K414" s="10">
        <f>SUM(Table676771741320252737475254[[#This Row],[Bus ]:[Wheelchair]])</f>
        <v>7</v>
      </c>
      <c r="M414" s="8" t="s">
        <v>62</v>
      </c>
      <c r="N414" s="8" t="s">
        <v>128</v>
      </c>
      <c r="O414" s="9">
        <v>0</v>
      </c>
      <c r="P414" s="9">
        <v>1</v>
      </c>
      <c r="Q414" s="9">
        <v>1</v>
      </c>
      <c r="R414" s="9">
        <v>0</v>
      </c>
      <c r="S414" s="9">
        <v>0</v>
      </c>
      <c r="T414" s="9">
        <v>0</v>
      </c>
      <c r="U414" s="9">
        <v>0</v>
      </c>
      <c r="V414" s="10">
        <f>SUM(Table67676972751421263138485355[[#This Row],[Bus ]:[Wheelchair]])</f>
        <v>2</v>
      </c>
    </row>
    <row r="415" spans="2:22" ht="19.2" x14ac:dyDescent="0.4">
      <c r="B415" s="8" t="s">
        <v>203</v>
      </c>
      <c r="C415" s="8" t="s">
        <v>128</v>
      </c>
      <c r="D415" s="9">
        <v>0</v>
      </c>
      <c r="E415" s="9">
        <v>1</v>
      </c>
      <c r="F415" s="9">
        <v>0</v>
      </c>
      <c r="G415" s="9">
        <v>0</v>
      </c>
      <c r="H415" s="9">
        <v>0</v>
      </c>
      <c r="I415" s="9">
        <v>0</v>
      </c>
      <c r="J415" s="9">
        <v>0</v>
      </c>
      <c r="K415" s="10">
        <f>SUM(Table676771741320252737475254[[#This Row],[Bus ]:[Wheelchair]])</f>
        <v>1</v>
      </c>
      <c r="M415" s="8" t="s">
        <v>36</v>
      </c>
      <c r="N415" s="8" t="s">
        <v>92</v>
      </c>
      <c r="O415" s="9">
        <v>0</v>
      </c>
      <c r="P415" s="9">
        <v>0</v>
      </c>
      <c r="Q415" s="9">
        <v>1</v>
      </c>
      <c r="R415" s="9">
        <v>0</v>
      </c>
      <c r="S415" s="9">
        <v>0</v>
      </c>
      <c r="T415" s="9">
        <v>0</v>
      </c>
      <c r="U415" s="9">
        <v>2</v>
      </c>
      <c r="V415" s="10">
        <f>SUM(Table67676972751421263138485355[[#This Row],[Bus ]:[Wheelchair]])</f>
        <v>3</v>
      </c>
    </row>
    <row r="416" spans="2:22" ht="19.2" x14ac:dyDescent="0.4">
      <c r="B416" s="8" t="s">
        <v>36</v>
      </c>
      <c r="C416" s="8" t="s">
        <v>92</v>
      </c>
      <c r="D416" s="9">
        <v>0</v>
      </c>
      <c r="E416" s="9">
        <v>3</v>
      </c>
      <c r="F416" s="9">
        <v>3</v>
      </c>
      <c r="G416" s="9">
        <v>0</v>
      </c>
      <c r="H416" s="9">
        <v>0</v>
      </c>
      <c r="I416" s="9">
        <v>1</v>
      </c>
      <c r="J416" s="9">
        <v>0</v>
      </c>
      <c r="K416" s="10">
        <f>SUM(Table676771741320252737475254[[#This Row],[Bus ]:[Wheelchair]])</f>
        <v>7</v>
      </c>
      <c r="M416" s="8" t="s">
        <v>101</v>
      </c>
      <c r="N416" s="8" t="s">
        <v>92</v>
      </c>
      <c r="O416" s="9">
        <v>0</v>
      </c>
      <c r="P416" s="9">
        <v>0</v>
      </c>
      <c r="Q416" s="9">
        <v>1</v>
      </c>
      <c r="R416" s="9">
        <v>0</v>
      </c>
      <c r="S416" s="9">
        <v>0</v>
      </c>
      <c r="T416" s="9">
        <v>0</v>
      </c>
      <c r="U416" s="9">
        <v>0</v>
      </c>
      <c r="V416" s="10">
        <f>SUM(Table67676972751421263138485355[[#This Row],[Bus ]:[Wheelchair]])</f>
        <v>1</v>
      </c>
    </row>
    <row r="417" spans="2:22" ht="19.2" x14ac:dyDescent="0.4">
      <c r="B417" s="8" t="s">
        <v>55</v>
      </c>
      <c r="C417" s="8" t="s">
        <v>92</v>
      </c>
      <c r="D417" s="9">
        <v>0</v>
      </c>
      <c r="E417" s="9">
        <v>71</v>
      </c>
      <c r="F417" s="9">
        <v>57</v>
      </c>
      <c r="G417" s="9">
        <v>0</v>
      </c>
      <c r="H417" s="9">
        <v>0</v>
      </c>
      <c r="I417" s="9">
        <v>34</v>
      </c>
      <c r="J417" s="9">
        <v>12</v>
      </c>
      <c r="K417" s="10">
        <f>SUM(Table676771741320252737475254[[#This Row],[Bus ]:[Wheelchair]])</f>
        <v>174</v>
      </c>
      <c r="M417" s="8" t="s">
        <v>55</v>
      </c>
      <c r="N417" s="8" t="s">
        <v>92</v>
      </c>
      <c r="O417" s="9">
        <v>0</v>
      </c>
      <c r="P417" s="9">
        <v>107</v>
      </c>
      <c r="Q417" s="9">
        <v>66</v>
      </c>
      <c r="R417" s="9">
        <v>3</v>
      </c>
      <c r="S417" s="9">
        <v>0</v>
      </c>
      <c r="T417" s="9">
        <v>20</v>
      </c>
      <c r="U417" s="9">
        <v>6</v>
      </c>
      <c r="V417" s="10">
        <f>SUM(Table67676972751421263138485355[[#This Row],[Bus ]:[Wheelchair]])</f>
        <v>202</v>
      </c>
    </row>
    <row r="418" spans="2:22" ht="19.2" x14ac:dyDescent="0.4">
      <c r="B418" s="8" t="s">
        <v>65</v>
      </c>
      <c r="C418" s="8" t="s">
        <v>92</v>
      </c>
      <c r="D418" s="9">
        <v>0</v>
      </c>
      <c r="E418" s="9">
        <v>0</v>
      </c>
      <c r="F418" s="9">
        <v>2</v>
      </c>
      <c r="G418" s="9">
        <v>0</v>
      </c>
      <c r="H418" s="9">
        <v>0</v>
      </c>
      <c r="I418" s="9">
        <v>1</v>
      </c>
      <c r="J418" s="9">
        <v>0</v>
      </c>
      <c r="K418" s="10">
        <f>SUM(Table676771741320252737475254[[#This Row],[Bus ]:[Wheelchair]])</f>
        <v>3</v>
      </c>
      <c r="M418" s="8" t="s">
        <v>61</v>
      </c>
      <c r="N418" s="8" t="s">
        <v>92</v>
      </c>
      <c r="O418" s="9">
        <v>0</v>
      </c>
      <c r="P418" s="9">
        <v>1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0">
        <f>SUM(Table67676972751421263138485355[[#This Row],[Bus ]:[Wheelchair]])</f>
        <v>1</v>
      </c>
    </row>
    <row r="419" spans="2:22" ht="19.2" x14ac:dyDescent="0.4">
      <c r="B419" s="8" t="s">
        <v>66</v>
      </c>
      <c r="C419" s="8" t="s">
        <v>92</v>
      </c>
      <c r="D419" s="9">
        <v>0</v>
      </c>
      <c r="E419" s="9">
        <v>1</v>
      </c>
      <c r="F419" s="9">
        <v>7</v>
      </c>
      <c r="G419" s="9">
        <v>0</v>
      </c>
      <c r="H419" s="9">
        <v>3</v>
      </c>
      <c r="I419" s="9">
        <v>0</v>
      </c>
      <c r="J419" s="9">
        <v>0</v>
      </c>
      <c r="K419" s="10">
        <f>SUM(Table676771741320252737475254[[#This Row],[Bus ]:[Wheelchair]])</f>
        <v>11</v>
      </c>
      <c r="M419" s="8" t="s">
        <v>65</v>
      </c>
      <c r="N419" s="8" t="s">
        <v>92</v>
      </c>
      <c r="O419" s="9">
        <v>0</v>
      </c>
      <c r="P419" s="9">
        <v>2</v>
      </c>
      <c r="Q419" s="9">
        <v>2</v>
      </c>
      <c r="R419" s="9">
        <v>0</v>
      </c>
      <c r="S419" s="9">
        <v>0</v>
      </c>
      <c r="T419" s="9">
        <v>1</v>
      </c>
      <c r="U419" s="9">
        <v>0</v>
      </c>
      <c r="V419" s="10">
        <f>SUM(Table67676972751421263138485355[[#This Row],[Bus ]:[Wheelchair]])</f>
        <v>5</v>
      </c>
    </row>
    <row r="420" spans="2:22" ht="19.2" x14ac:dyDescent="0.4">
      <c r="B420" s="8" t="s">
        <v>204</v>
      </c>
      <c r="C420" s="8" t="s">
        <v>96</v>
      </c>
      <c r="D420" s="9">
        <v>0</v>
      </c>
      <c r="E420" s="9">
        <v>2</v>
      </c>
      <c r="F420" s="9">
        <v>0</v>
      </c>
      <c r="G420" s="9">
        <v>0</v>
      </c>
      <c r="H420" s="9">
        <v>0</v>
      </c>
      <c r="I420" s="9">
        <v>0</v>
      </c>
      <c r="J420" s="9">
        <v>0</v>
      </c>
      <c r="K420" s="10">
        <f>SUM(Table676771741320252737475254[[#This Row],[Bus ]:[Wheelchair]])</f>
        <v>2</v>
      </c>
      <c r="M420" s="8" t="s">
        <v>66</v>
      </c>
      <c r="N420" s="8" t="s">
        <v>92</v>
      </c>
      <c r="O420" s="9">
        <v>0</v>
      </c>
      <c r="P420" s="9">
        <v>3</v>
      </c>
      <c r="Q420" s="9">
        <v>19</v>
      </c>
      <c r="R420" s="9">
        <v>0</v>
      </c>
      <c r="S420" s="9">
        <v>0</v>
      </c>
      <c r="T420" s="9">
        <v>0</v>
      </c>
      <c r="U420" s="9">
        <v>0</v>
      </c>
      <c r="V420" s="10">
        <f>SUM(Table67676972751421263138485355[[#This Row],[Bus ]:[Wheelchair]])</f>
        <v>22</v>
      </c>
    </row>
    <row r="421" spans="2:22" ht="20.399999999999999" x14ac:dyDescent="0.45">
      <c r="B421" s="27" t="s">
        <v>20</v>
      </c>
      <c r="C421" s="27"/>
      <c r="D421" s="28">
        <f>SUBTOTAL(109,Table676771741320252737475254[[Bus ]])</f>
        <v>0</v>
      </c>
      <c r="E421" s="28">
        <f>SUBTOTAL(109,Table676771741320252737475254[Cab])</f>
        <v>284</v>
      </c>
      <c r="F421" s="28">
        <f>SUBTOTAL(109,Table676771741320252737475254[GMR])</f>
        <v>131</v>
      </c>
      <c r="G421" s="28">
        <f>SUBTOTAL(109,Table676771741320252737475254[Public Entity])</f>
        <v>1</v>
      </c>
      <c r="H421" s="28">
        <f>SUBTOTAL(109,Table676771741320252737475254[Stretcher])</f>
        <v>6</v>
      </c>
      <c r="I421" s="28">
        <f>SUBTOTAL(109,Table676771741320252737475254[TNC Vendor])</f>
        <v>66</v>
      </c>
      <c r="J421" s="28">
        <f>SUBTOTAL(109,Table676771741320252737475254[Wheelchair])</f>
        <v>21</v>
      </c>
      <c r="K421" s="28">
        <f>SUBTOTAL(109,Table676771741320252737475254[Total])</f>
        <v>509</v>
      </c>
      <c r="L421" s="29"/>
      <c r="M421" s="31" t="s">
        <v>20</v>
      </c>
      <c r="N421" s="31"/>
      <c r="O421" s="32">
        <f>SUBTOTAL(109,Table67676972751421263138485355[[Bus ]])</f>
        <v>0</v>
      </c>
      <c r="P421" s="32">
        <f>SUBTOTAL(109,Table67676972751421263138485355[Cab])</f>
        <v>237</v>
      </c>
      <c r="Q421" s="32">
        <f>SUBTOTAL(109,Table67676972751421263138485355[GMR])</f>
        <v>126</v>
      </c>
      <c r="R421" s="32">
        <f>SUBTOTAL(109,Table67676972751421263138485355[Public Entity])</f>
        <v>6</v>
      </c>
      <c r="S421" s="32">
        <f>SUBTOTAL(109,Table67676972751421263138485355[Stretcher])</f>
        <v>5</v>
      </c>
      <c r="T421" s="32">
        <f>SUBTOTAL(109,Table67676972751421263138485355[TNC Vendor])</f>
        <v>23</v>
      </c>
      <c r="U421" s="32">
        <f>SUBTOTAL(109,Table67676972751421263138485355[Wheelchair])</f>
        <v>11</v>
      </c>
      <c r="V421" s="32">
        <f>SUBTOTAL(109,Table67676972751421263138485355[Total])</f>
        <v>408</v>
      </c>
    </row>
    <row r="422" spans="2:22" x14ac:dyDescent="0.4">
      <c r="V422" s="12"/>
    </row>
    <row r="423" spans="2:22" x14ac:dyDescent="0.4">
      <c r="V423" s="12"/>
    </row>
    <row r="424" spans="2:22" ht="19.2" x14ac:dyDescent="0.45">
      <c r="B424" s="38">
        <v>45627</v>
      </c>
      <c r="C424" s="38"/>
      <c r="D424" s="38"/>
      <c r="E424" s="39" t="s">
        <v>22</v>
      </c>
      <c r="F424" s="39"/>
      <c r="G424" s="39"/>
      <c r="H424" s="39"/>
      <c r="I424" s="39"/>
      <c r="J424" s="39"/>
      <c r="K424" s="39"/>
      <c r="L424" s="1"/>
      <c r="M424" s="40">
        <v>45992</v>
      </c>
      <c r="N424" s="40"/>
      <c r="O424" s="40"/>
      <c r="P424" s="41" t="s">
        <v>22</v>
      </c>
      <c r="Q424" s="41"/>
      <c r="R424" s="41"/>
      <c r="S424" s="41"/>
      <c r="T424" s="41"/>
      <c r="U424" s="41"/>
      <c r="V424" s="41"/>
    </row>
    <row r="425" spans="2:22" ht="19.2" x14ac:dyDescent="0.45">
      <c r="B425" s="38"/>
      <c r="C425" s="38"/>
      <c r="D425" s="38"/>
      <c r="E425" s="39"/>
      <c r="F425" s="39"/>
      <c r="G425" s="39"/>
      <c r="H425" s="39"/>
      <c r="I425" s="39"/>
      <c r="J425" s="39"/>
      <c r="K425" s="39"/>
      <c r="L425" s="1"/>
      <c r="M425" s="40"/>
      <c r="N425" s="40"/>
      <c r="O425" s="40"/>
      <c r="P425" s="41"/>
      <c r="Q425" s="41"/>
      <c r="R425" s="41"/>
      <c r="S425" s="41"/>
      <c r="T425" s="41"/>
      <c r="U425" s="41"/>
      <c r="V425" s="41"/>
    </row>
    <row r="426" spans="2:22" ht="20.399999999999999" x14ac:dyDescent="0.4">
      <c r="B426" s="3" t="s">
        <v>23</v>
      </c>
      <c r="C426" s="3" t="s">
        <v>68</v>
      </c>
      <c r="D426" s="4" t="s">
        <v>25</v>
      </c>
      <c r="E426" s="4" t="s">
        <v>0</v>
      </c>
      <c r="F426" s="4" t="s">
        <v>26</v>
      </c>
      <c r="G426" s="4" t="s">
        <v>27</v>
      </c>
      <c r="H426" s="4" t="s">
        <v>1</v>
      </c>
      <c r="I426" s="4" t="s">
        <v>2</v>
      </c>
      <c r="J426" s="4" t="s">
        <v>3</v>
      </c>
      <c r="K426" s="4" t="s">
        <v>20</v>
      </c>
      <c r="M426" s="6" t="s">
        <v>23</v>
      </c>
      <c r="N426" s="6" t="s">
        <v>68</v>
      </c>
      <c r="O426" s="7" t="s">
        <v>25</v>
      </c>
      <c r="P426" s="7" t="s">
        <v>0</v>
      </c>
      <c r="Q426" s="7" t="s">
        <v>26</v>
      </c>
      <c r="R426" s="7" t="s">
        <v>27</v>
      </c>
      <c r="S426" s="7" t="s">
        <v>1</v>
      </c>
      <c r="T426" s="7" t="s">
        <v>2</v>
      </c>
      <c r="U426" s="7" t="s">
        <v>3</v>
      </c>
      <c r="V426" s="7" t="s">
        <v>20</v>
      </c>
    </row>
    <row r="427" spans="2:22" ht="19.2" hidden="1" x14ac:dyDescent="0.4">
      <c r="B427" s="8" t="s">
        <v>64</v>
      </c>
      <c r="C427" s="8" t="s">
        <v>69</v>
      </c>
      <c r="D427" s="9">
        <v>0</v>
      </c>
      <c r="E427" s="9">
        <v>0</v>
      </c>
      <c r="F427" s="9">
        <v>3</v>
      </c>
      <c r="G427" s="9">
        <v>0</v>
      </c>
      <c r="H427" s="9">
        <v>0</v>
      </c>
      <c r="I427" s="9">
        <v>0</v>
      </c>
      <c r="J427" s="9">
        <v>0</v>
      </c>
      <c r="K427" s="10">
        <f>SUM(Table67677174132025273747525456[[#This Row],[Bus ]:[Wheelchair]])</f>
        <v>3</v>
      </c>
      <c r="M427" s="8" t="s">
        <v>64</v>
      </c>
      <c r="N427" s="8" t="s">
        <v>69</v>
      </c>
      <c r="O427" s="9">
        <v>0</v>
      </c>
      <c r="P427" s="9">
        <v>1</v>
      </c>
      <c r="Q427" s="9">
        <v>2</v>
      </c>
      <c r="R427" s="9">
        <v>3</v>
      </c>
      <c r="S427" s="9">
        <v>0</v>
      </c>
      <c r="T427" s="9">
        <v>0</v>
      </c>
      <c r="U427" s="9">
        <v>0</v>
      </c>
      <c r="V427" s="10">
        <f>SUM(Table6767697275142126313848535557[[#This Row],[Bus ]:[Wheelchair]])</f>
        <v>6</v>
      </c>
    </row>
    <row r="428" spans="2:22" customFormat="1" ht="14.4" x14ac:dyDescent="0.3">
      <c r="B428" t="s">
        <v>43</v>
      </c>
      <c r="C428" t="s">
        <v>72</v>
      </c>
      <c r="D428">
        <v>0</v>
      </c>
      <c r="E428">
        <v>10</v>
      </c>
      <c r="F428">
        <v>0</v>
      </c>
      <c r="G428">
        <v>0</v>
      </c>
      <c r="H428">
        <v>0</v>
      </c>
      <c r="I428">
        <v>4</v>
      </c>
      <c r="J428">
        <v>0</v>
      </c>
      <c r="K428">
        <f>SUM(Table67677174132025273747525456[[#This Row],[Bus ]:[Wheelchair]])</f>
        <v>14</v>
      </c>
      <c r="M428" t="s">
        <v>43</v>
      </c>
      <c r="N428" t="s">
        <v>72</v>
      </c>
      <c r="O428">
        <v>0</v>
      </c>
      <c r="P428">
        <v>81</v>
      </c>
      <c r="Q428">
        <v>3</v>
      </c>
      <c r="R428">
        <v>2</v>
      </c>
      <c r="S428">
        <v>0</v>
      </c>
      <c r="T428">
        <v>0</v>
      </c>
      <c r="U428">
        <v>0</v>
      </c>
      <c r="V428">
        <f>SUM(Table6767697275142126313848535557[[#This Row],[Bus ]:[Wheelchair]])</f>
        <v>86</v>
      </c>
    </row>
    <row r="429" spans="2:22" customFormat="1" ht="14.4" x14ac:dyDescent="0.3">
      <c r="B429" t="s">
        <v>44</v>
      </c>
      <c r="C429" t="s">
        <v>72</v>
      </c>
      <c r="D429">
        <v>0</v>
      </c>
      <c r="E429">
        <v>14</v>
      </c>
      <c r="F429">
        <v>5</v>
      </c>
      <c r="G429">
        <v>0</v>
      </c>
      <c r="H429">
        <v>0</v>
      </c>
      <c r="I429">
        <v>2</v>
      </c>
      <c r="J429">
        <v>0</v>
      </c>
      <c r="K429">
        <f>SUM(Table67677174132025273747525456[[#This Row],[Bus ]:[Wheelchair]])</f>
        <v>21</v>
      </c>
      <c r="M429" t="s">
        <v>44</v>
      </c>
      <c r="N429" t="s">
        <v>72</v>
      </c>
      <c r="O429">
        <v>0</v>
      </c>
      <c r="P429">
        <v>3</v>
      </c>
      <c r="Q429">
        <v>3</v>
      </c>
      <c r="R429">
        <v>0</v>
      </c>
      <c r="S429">
        <v>0</v>
      </c>
      <c r="T429">
        <v>0</v>
      </c>
      <c r="U429">
        <v>0</v>
      </c>
      <c r="V429">
        <f>SUM(Table6767697275142126313848535557[[#This Row],[Bus ]:[Wheelchair]])</f>
        <v>6</v>
      </c>
    </row>
    <row r="430" spans="2:22" customFormat="1" ht="14.4" x14ac:dyDescent="0.3">
      <c r="B430" t="s">
        <v>38</v>
      </c>
      <c r="C430" t="s">
        <v>74</v>
      </c>
      <c r="D430">
        <v>0</v>
      </c>
      <c r="E430">
        <v>1</v>
      </c>
      <c r="F430">
        <v>0</v>
      </c>
      <c r="G430">
        <v>0</v>
      </c>
      <c r="H430">
        <v>0</v>
      </c>
      <c r="I430">
        <v>0</v>
      </c>
      <c r="J430">
        <v>0</v>
      </c>
      <c r="K430">
        <f>SUM(Table67677174132025273747525456[[#This Row],[Bus ]:[Wheelchair]])</f>
        <v>1</v>
      </c>
      <c r="M430" t="s">
        <v>33</v>
      </c>
      <c r="N430" t="s">
        <v>74</v>
      </c>
      <c r="O430">
        <v>0</v>
      </c>
      <c r="P430">
        <v>2</v>
      </c>
      <c r="Q430">
        <v>1</v>
      </c>
      <c r="R430">
        <v>0</v>
      </c>
      <c r="S430">
        <v>0</v>
      </c>
      <c r="T430">
        <v>0</v>
      </c>
      <c r="U430">
        <v>0</v>
      </c>
      <c r="V430">
        <f>SUM(Table6767697275142126313848535557[[#This Row],[Bus ]:[Wheelchair]])</f>
        <v>3</v>
      </c>
    </row>
    <row r="431" spans="2:22" customFormat="1" ht="14.4" x14ac:dyDescent="0.3">
      <c r="B431" t="s">
        <v>105</v>
      </c>
      <c r="C431" t="s">
        <v>74</v>
      </c>
      <c r="D431">
        <v>0</v>
      </c>
      <c r="E431">
        <v>5</v>
      </c>
      <c r="F431">
        <v>0</v>
      </c>
      <c r="G431">
        <v>0</v>
      </c>
      <c r="H431">
        <v>0</v>
      </c>
      <c r="I431">
        <v>0</v>
      </c>
      <c r="J431">
        <v>0</v>
      </c>
      <c r="K431">
        <f>SUM(Table67677174132025273747525456[[#This Row],[Bus ]:[Wheelchair]])</f>
        <v>5</v>
      </c>
      <c r="M431" t="s">
        <v>38</v>
      </c>
      <c r="N431" t="s">
        <v>74</v>
      </c>
      <c r="O431">
        <v>0</v>
      </c>
      <c r="P431">
        <v>2</v>
      </c>
      <c r="Q431">
        <v>0</v>
      </c>
      <c r="R431">
        <v>0</v>
      </c>
      <c r="S431">
        <v>0</v>
      </c>
      <c r="T431">
        <v>0</v>
      </c>
      <c r="U431">
        <v>0</v>
      </c>
      <c r="V431">
        <f>SUM(Table6767697275142126313848535557[[#This Row],[Bus ]:[Wheelchair]])</f>
        <v>2</v>
      </c>
    </row>
    <row r="432" spans="2:22" customFormat="1" ht="14.4" x14ac:dyDescent="0.3">
      <c r="B432" t="s">
        <v>42</v>
      </c>
      <c r="C432" t="s">
        <v>74</v>
      </c>
      <c r="D432">
        <v>0</v>
      </c>
      <c r="E432">
        <v>62</v>
      </c>
      <c r="F432">
        <v>12</v>
      </c>
      <c r="G432">
        <v>0</v>
      </c>
      <c r="H432">
        <v>1</v>
      </c>
      <c r="I432">
        <v>11</v>
      </c>
      <c r="J432">
        <v>0</v>
      </c>
      <c r="K432">
        <f>SUM(Table67677174132025273747525456[[#This Row],[Bus ]:[Wheelchair]])</f>
        <v>86</v>
      </c>
      <c r="M432" t="s">
        <v>42</v>
      </c>
      <c r="N432" t="s">
        <v>74</v>
      </c>
      <c r="O432">
        <v>0</v>
      </c>
      <c r="P432">
        <v>34</v>
      </c>
      <c r="Q432">
        <v>11</v>
      </c>
      <c r="R432">
        <v>0</v>
      </c>
      <c r="S432">
        <v>1</v>
      </c>
      <c r="T432">
        <v>5</v>
      </c>
      <c r="U432">
        <v>3</v>
      </c>
      <c r="V432">
        <f>SUM(Table6767697275142126313848535557[[#This Row],[Bus ]:[Wheelchair]])</f>
        <v>54</v>
      </c>
    </row>
    <row r="433" spans="2:22" customFormat="1" ht="14.4" x14ac:dyDescent="0.3">
      <c r="B433" t="s">
        <v>75</v>
      </c>
      <c r="C433" t="s">
        <v>74</v>
      </c>
      <c r="D433">
        <v>0</v>
      </c>
      <c r="E433">
        <v>0</v>
      </c>
      <c r="F433">
        <v>14</v>
      </c>
      <c r="G433">
        <v>0</v>
      </c>
      <c r="H433">
        <v>0</v>
      </c>
      <c r="I433">
        <v>0</v>
      </c>
      <c r="J433">
        <v>0</v>
      </c>
      <c r="K433">
        <f>SUM(Table67677174132025273747525456[[#This Row],[Bus ]:[Wheelchair]])</f>
        <v>14</v>
      </c>
      <c r="M433" t="s">
        <v>51</v>
      </c>
      <c r="N433" t="s">
        <v>74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f>SUM(Table6767697275142126313848535557[[#This Row],[Bus ]:[Wheelchair]])</f>
        <v>1</v>
      </c>
    </row>
    <row r="434" spans="2:22" customFormat="1" ht="14.4" x14ac:dyDescent="0.3">
      <c r="B434" t="s">
        <v>76</v>
      </c>
      <c r="C434" t="s">
        <v>74</v>
      </c>
      <c r="D434">
        <v>0</v>
      </c>
      <c r="E434">
        <v>6</v>
      </c>
      <c r="F434">
        <v>0</v>
      </c>
      <c r="G434">
        <v>3</v>
      </c>
      <c r="H434">
        <v>0</v>
      </c>
      <c r="I434">
        <v>0</v>
      </c>
      <c r="J434">
        <v>0</v>
      </c>
      <c r="K434">
        <f>SUM(Table67677174132025273747525456[[#This Row],[Bus ]:[Wheelchair]])</f>
        <v>9</v>
      </c>
      <c r="M434" t="s">
        <v>52</v>
      </c>
      <c r="N434" t="s">
        <v>74</v>
      </c>
      <c r="O434">
        <v>0</v>
      </c>
      <c r="P434">
        <v>1</v>
      </c>
      <c r="Q434">
        <v>1</v>
      </c>
      <c r="R434">
        <v>0</v>
      </c>
      <c r="S434">
        <v>0</v>
      </c>
      <c r="T434">
        <v>0</v>
      </c>
      <c r="U434">
        <v>0</v>
      </c>
      <c r="V434">
        <f>SUM(Table6767697275142126313848535557[[#This Row],[Bus ]:[Wheelchair]])</f>
        <v>2</v>
      </c>
    </row>
    <row r="435" spans="2:22" customFormat="1" ht="14.4" x14ac:dyDescent="0.3">
      <c r="B435" t="s">
        <v>52</v>
      </c>
      <c r="C435" t="s">
        <v>74</v>
      </c>
      <c r="D435">
        <v>0</v>
      </c>
      <c r="E435">
        <v>8</v>
      </c>
      <c r="F435">
        <v>1</v>
      </c>
      <c r="G435">
        <v>0</v>
      </c>
      <c r="H435">
        <v>0</v>
      </c>
      <c r="I435">
        <v>0</v>
      </c>
      <c r="J435">
        <v>0</v>
      </c>
      <c r="K435">
        <f>SUM(Table67677174132025273747525456[[#This Row],[Bus ]:[Wheelchair]])</f>
        <v>9</v>
      </c>
      <c r="M435" t="s">
        <v>56</v>
      </c>
      <c r="N435" t="s">
        <v>74</v>
      </c>
      <c r="O435">
        <v>0</v>
      </c>
      <c r="P435">
        <v>1</v>
      </c>
      <c r="Q435">
        <v>4</v>
      </c>
      <c r="R435">
        <v>0</v>
      </c>
      <c r="S435">
        <v>0</v>
      </c>
      <c r="T435">
        <v>0</v>
      </c>
      <c r="U435">
        <v>0</v>
      </c>
      <c r="V435">
        <f>SUM(Table6767697275142126313848535557[[#This Row],[Bus ]:[Wheelchair]])</f>
        <v>5</v>
      </c>
    </row>
    <row r="436" spans="2:22" customFormat="1" ht="14.4" x14ac:dyDescent="0.3">
      <c r="B436" t="s">
        <v>57</v>
      </c>
      <c r="C436" t="s">
        <v>74</v>
      </c>
      <c r="D436">
        <v>0</v>
      </c>
      <c r="E436">
        <v>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f>SUM(Table67677174132025273747525456[[#This Row],[Bus ]:[Wheelchair]])</f>
        <v>2</v>
      </c>
      <c r="M436" t="s">
        <v>57</v>
      </c>
      <c r="N436" t="s">
        <v>74</v>
      </c>
      <c r="O436">
        <v>0</v>
      </c>
      <c r="P436">
        <v>2</v>
      </c>
      <c r="Q436">
        <v>0</v>
      </c>
      <c r="R436">
        <v>0</v>
      </c>
      <c r="S436">
        <v>0</v>
      </c>
      <c r="T436">
        <v>0</v>
      </c>
      <c r="U436">
        <v>0</v>
      </c>
      <c r="V436">
        <f>SUM(Table6767697275142126313848535557[[#This Row],[Bus ]:[Wheelchair]])</f>
        <v>2</v>
      </c>
    </row>
    <row r="437" spans="2:22" customFormat="1" ht="14.4" x14ac:dyDescent="0.3">
      <c r="B437" t="s">
        <v>131</v>
      </c>
      <c r="C437" t="s">
        <v>74</v>
      </c>
      <c r="D437">
        <v>0</v>
      </c>
      <c r="E437">
        <v>8</v>
      </c>
      <c r="F437">
        <v>2</v>
      </c>
      <c r="G437">
        <v>0</v>
      </c>
      <c r="H437">
        <v>0</v>
      </c>
      <c r="I437">
        <v>1</v>
      </c>
      <c r="J437">
        <v>0</v>
      </c>
      <c r="K437">
        <f>SUM(Table67677174132025273747525456[[#This Row],[Bus ]:[Wheelchair]])</f>
        <v>11</v>
      </c>
      <c r="M437" t="s">
        <v>58</v>
      </c>
      <c r="N437" t="s">
        <v>74</v>
      </c>
      <c r="O437">
        <v>0</v>
      </c>
      <c r="P437">
        <v>2</v>
      </c>
      <c r="Q437">
        <v>0</v>
      </c>
      <c r="R437">
        <v>0</v>
      </c>
      <c r="S437">
        <v>0</v>
      </c>
      <c r="T437">
        <v>0</v>
      </c>
      <c r="U437">
        <v>0</v>
      </c>
      <c r="V437">
        <f>SUM(Table6767697275142126313848535557[[#This Row],[Bus ]:[Wheelchair]])</f>
        <v>2</v>
      </c>
    </row>
    <row r="438" spans="2:22" customFormat="1" ht="14.4" x14ac:dyDescent="0.3">
      <c r="B438" t="s">
        <v>59</v>
      </c>
      <c r="C438" t="s">
        <v>74</v>
      </c>
      <c r="D438">
        <v>1</v>
      </c>
      <c r="E438">
        <v>9</v>
      </c>
      <c r="F438">
        <v>0</v>
      </c>
      <c r="G438">
        <v>0</v>
      </c>
      <c r="H438">
        <v>0</v>
      </c>
      <c r="I438">
        <v>6</v>
      </c>
      <c r="J438">
        <v>0</v>
      </c>
      <c r="K438">
        <f>SUM(Table67677174132025273747525456[[#This Row],[Bus ]:[Wheelchair]])</f>
        <v>16</v>
      </c>
      <c r="M438" t="s">
        <v>59</v>
      </c>
      <c r="N438" t="s">
        <v>74</v>
      </c>
      <c r="O438">
        <v>0</v>
      </c>
      <c r="P438">
        <v>7</v>
      </c>
      <c r="Q438">
        <v>1</v>
      </c>
      <c r="R438">
        <v>0</v>
      </c>
      <c r="S438">
        <v>0</v>
      </c>
      <c r="T438">
        <v>1</v>
      </c>
      <c r="U438">
        <v>0</v>
      </c>
      <c r="V438">
        <f>SUM(Table6767697275142126313848535557[[#This Row],[Bus ]:[Wheelchair]])</f>
        <v>9</v>
      </c>
    </row>
    <row r="439" spans="2:22" customFormat="1" ht="14.4" x14ac:dyDescent="0.3">
      <c r="B439" t="s">
        <v>60</v>
      </c>
      <c r="C439" t="s">
        <v>74</v>
      </c>
      <c r="D439">
        <v>0</v>
      </c>
      <c r="E439">
        <v>31</v>
      </c>
      <c r="F439">
        <v>10</v>
      </c>
      <c r="G439">
        <v>0</v>
      </c>
      <c r="H439">
        <v>0</v>
      </c>
      <c r="I439">
        <v>3</v>
      </c>
      <c r="J439">
        <v>9</v>
      </c>
      <c r="K439">
        <f>SUM(Table67677174132025273747525456[[#This Row],[Bus ]:[Wheelchair]])</f>
        <v>53</v>
      </c>
      <c r="M439" t="s">
        <v>60</v>
      </c>
      <c r="N439" t="s">
        <v>74</v>
      </c>
      <c r="O439">
        <v>0</v>
      </c>
      <c r="P439">
        <v>19</v>
      </c>
      <c r="Q439">
        <v>4</v>
      </c>
      <c r="R439">
        <v>0</v>
      </c>
      <c r="S439">
        <v>0</v>
      </c>
      <c r="T439">
        <v>0</v>
      </c>
      <c r="U439">
        <v>0</v>
      </c>
      <c r="V439">
        <f>SUM(Table6767697275142126313848535557[[#This Row],[Bus ]:[Wheelchair]])</f>
        <v>23</v>
      </c>
    </row>
    <row r="440" spans="2:22" customFormat="1" ht="14.4" x14ac:dyDescent="0.3">
      <c r="B440" t="s">
        <v>40</v>
      </c>
      <c r="C440" t="s">
        <v>79</v>
      </c>
      <c r="D440">
        <v>0</v>
      </c>
      <c r="E440">
        <v>0</v>
      </c>
      <c r="F440">
        <v>1</v>
      </c>
      <c r="G440">
        <v>0</v>
      </c>
      <c r="H440">
        <v>0</v>
      </c>
      <c r="I440">
        <v>0</v>
      </c>
      <c r="J440">
        <v>0</v>
      </c>
      <c r="K440">
        <f>SUM(Table67677174132025273747525456[[#This Row],[Bus ]:[Wheelchair]])</f>
        <v>1</v>
      </c>
      <c r="M440" t="s">
        <v>37</v>
      </c>
      <c r="N440" t="s">
        <v>205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f>SUM(Table6767697275142126313848535557[[#This Row],[Bus ]:[Wheelchair]])</f>
        <v>1</v>
      </c>
    </row>
    <row r="441" spans="2:22" customFormat="1" ht="14.4" x14ac:dyDescent="0.3">
      <c r="B441" t="s">
        <v>63</v>
      </c>
      <c r="C441" t="s">
        <v>79</v>
      </c>
      <c r="D441">
        <v>0</v>
      </c>
      <c r="E441">
        <v>1</v>
      </c>
      <c r="F441">
        <v>5</v>
      </c>
      <c r="G441">
        <v>0</v>
      </c>
      <c r="H441">
        <v>0</v>
      </c>
      <c r="I441">
        <v>0</v>
      </c>
      <c r="J441">
        <v>0</v>
      </c>
      <c r="K441">
        <f>SUM(Table67677174132025273747525456[[#This Row],[Bus ]:[Wheelchair]])</f>
        <v>6</v>
      </c>
      <c r="M441" t="s">
        <v>35</v>
      </c>
      <c r="N441" t="s">
        <v>79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3</v>
      </c>
      <c r="V441">
        <f>SUM(Table6767697275142126313848535557[[#This Row],[Bus ]:[Wheelchair]])</f>
        <v>3</v>
      </c>
    </row>
    <row r="442" spans="2:22" customFormat="1" ht="14.4" x14ac:dyDescent="0.3">
      <c r="B442" t="s">
        <v>32</v>
      </c>
      <c r="C442" t="s">
        <v>87</v>
      </c>
      <c r="D442">
        <v>0</v>
      </c>
      <c r="E442">
        <v>3</v>
      </c>
      <c r="F442">
        <v>14</v>
      </c>
      <c r="G442">
        <v>0</v>
      </c>
      <c r="H442">
        <v>0</v>
      </c>
      <c r="I442">
        <v>0</v>
      </c>
      <c r="J442">
        <v>0</v>
      </c>
      <c r="K442">
        <f>SUM(Table67677174132025273747525456[[#This Row],[Bus ]:[Wheelchair]])</f>
        <v>17</v>
      </c>
      <c r="M442" t="s">
        <v>39</v>
      </c>
      <c r="N442" t="s">
        <v>79</v>
      </c>
      <c r="O442">
        <v>0</v>
      </c>
      <c r="P442">
        <v>6</v>
      </c>
      <c r="Q442">
        <v>0</v>
      </c>
      <c r="R442">
        <v>0</v>
      </c>
      <c r="S442">
        <v>0</v>
      </c>
      <c r="T442">
        <v>0</v>
      </c>
      <c r="U442">
        <v>1</v>
      </c>
      <c r="V442">
        <f>SUM(Table6767697275142126313848535557[[#This Row],[Bus ]:[Wheelchair]])</f>
        <v>7</v>
      </c>
    </row>
    <row r="443" spans="2:22" customFormat="1" ht="14.4" x14ac:dyDescent="0.3">
      <c r="B443" t="s">
        <v>154</v>
      </c>
      <c r="C443" t="s">
        <v>152</v>
      </c>
      <c r="D443">
        <v>0</v>
      </c>
      <c r="E443">
        <v>2</v>
      </c>
      <c r="F443">
        <v>0</v>
      </c>
      <c r="G443">
        <v>0</v>
      </c>
      <c r="H443">
        <v>0</v>
      </c>
      <c r="I443">
        <v>0</v>
      </c>
      <c r="J443">
        <v>0</v>
      </c>
      <c r="K443">
        <f>SUM(Table67677174132025273747525456[[#This Row],[Bus ]:[Wheelchair]])</f>
        <v>2</v>
      </c>
      <c r="M443" t="s">
        <v>40</v>
      </c>
      <c r="N443" t="s">
        <v>79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2</v>
      </c>
      <c r="U443">
        <v>0</v>
      </c>
      <c r="V443">
        <f>SUM(Table6767697275142126313848535557[[#This Row],[Bus ]:[Wheelchair]])</f>
        <v>4</v>
      </c>
    </row>
    <row r="444" spans="2:22" customFormat="1" ht="14.4" x14ac:dyDescent="0.3">
      <c r="B444" t="s">
        <v>36</v>
      </c>
      <c r="C444" t="s">
        <v>92</v>
      </c>
      <c r="D444">
        <v>0</v>
      </c>
      <c r="E444">
        <v>1</v>
      </c>
      <c r="F444">
        <v>1</v>
      </c>
      <c r="G444">
        <v>0</v>
      </c>
      <c r="H444">
        <v>0</v>
      </c>
      <c r="I444">
        <v>0</v>
      </c>
      <c r="J444">
        <v>0</v>
      </c>
      <c r="K444">
        <f>SUM(Table67677174132025273747525456[[#This Row],[Bus ]:[Wheelchair]])</f>
        <v>2</v>
      </c>
      <c r="M444" t="s">
        <v>63</v>
      </c>
      <c r="N444" t="s">
        <v>79</v>
      </c>
      <c r="O444">
        <v>0</v>
      </c>
      <c r="P444">
        <v>0</v>
      </c>
      <c r="Q444">
        <v>4</v>
      </c>
      <c r="R444">
        <v>0</v>
      </c>
      <c r="S444">
        <v>0</v>
      </c>
      <c r="T444">
        <v>0</v>
      </c>
      <c r="U444">
        <v>0</v>
      </c>
      <c r="V444">
        <f>SUM(Table6767697275142126313848535557[[#This Row],[Bus ]:[Wheelchair]])</f>
        <v>4</v>
      </c>
    </row>
    <row r="445" spans="2:22" customFormat="1" ht="14.4" x14ac:dyDescent="0.3">
      <c r="B445" t="s">
        <v>101</v>
      </c>
      <c r="C445" t="s">
        <v>92</v>
      </c>
      <c r="D445">
        <v>0</v>
      </c>
      <c r="E445">
        <v>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f>SUM(Table67677174132025273747525456[[#This Row],[Bus ]:[Wheelchair]])</f>
        <v>1</v>
      </c>
      <c r="M445" t="s">
        <v>45</v>
      </c>
      <c r="N445" t="s">
        <v>165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0</v>
      </c>
      <c r="U445">
        <v>0</v>
      </c>
      <c r="V445">
        <f>SUM(Table6767697275142126313848535557[[#This Row],[Bus ]:[Wheelchair]])</f>
        <v>1</v>
      </c>
    </row>
    <row r="446" spans="2:22" customFormat="1" ht="14.4" x14ac:dyDescent="0.3">
      <c r="B446" t="s">
        <v>55</v>
      </c>
      <c r="C446" t="s">
        <v>92</v>
      </c>
      <c r="D446">
        <v>0</v>
      </c>
      <c r="E446">
        <v>63</v>
      </c>
      <c r="F446">
        <v>42</v>
      </c>
      <c r="G446">
        <v>3</v>
      </c>
      <c r="H446">
        <v>3</v>
      </c>
      <c r="I446">
        <v>15</v>
      </c>
      <c r="J446">
        <v>3</v>
      </c>
      <c r="K446">
        <f>SUM(Table67677174132025273747525456[[#This Row],[Bus ]:[Wheelchair]])</f>
        <v>129</v>
      </c>
      <c r="M446" t="s">
        <v>48</v>
      </c>
      <c r="N446" t="s">
        <v>107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f>SUM(Table6767697275142126313848535557[[#This Row],[Bus ]:[Wheelchair]])</f>
        <v>1</v>
      </c>
    </row>
    <row r="447" spans="2:22" customFormat="1" ht="14.4" x14ac:dyDescent="0.3">
      <c r="B447" t="s">
        <v>61</v>
      </c>
      <c r="C447" t="s">
        <v>92</v>
      </c>
      <c r="D447">
        <v>0</v>
      </c>
      <c r="E447">
        <v>2</v>
      </c>
      <c r="F447">
        <v>0</v>
      </c>
      <c r="G447">
        <v>0</v>
      </c>
      <c r="H447">
        <v>0</v>
      </c>
      <c r="I447">
        <v>0</v>
      </c>
      <c r="J447">
        <v>0</v>
      </c>
      <c r="K447">
        <f>SUM(Table67677174132025273747525456[[#This Row],[Bus ]:[Wheelchair]])</f>
        <v>2</v>
      </c>
      <c r="M447" t="s">
        <v>41</v>
      </c>
      <c r="N447" t="s">
        <v>158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f>SUM(Table6767697275142126313848535557[[#This Row],[Bus ]:[Wheelchair]])</f>
        <v>1</v>
      </c>
    </row>
    <row r="448" spans="2:22" customFormat="1" ht="14.4" x14ac:dyDescent="0.3">
      <c r="B448" t="s">
        <v>65</v>
      </c>
      <c r="C448" t="s">
        <v>92</v>
      </c>
      <c r="D448">
        <v>0</v>
      </c>
      <c r="E448">
        <v>1</v>
      </c>
      <c r="F448">
        <v>5</v>
      </c>
      <c r="G448">
        <v>0</v>
      </c>
      <c r="H448">
        <v>0</v>
      </c>
      <c r="I448">
        <v>0</v>
      </c>
      <c r="J448">
        <v>0</v>
      </c>
      <c r="K448">
        <f>SUM(Table67677174132025273747525456[[#This Row],[Bus ]:[Wheelchair]])</f>
        <v>6</v>
      </c>
      <c r="M448" t="s">
        <v>53</v>
      </c>
      <c r="N448" t="s">
        <v>81</v>
      </c>
      <c r="O448">
        <v>0</v>
      </c>
      <c r="P448">
        <v>3</v>
      </c>
      <c r="Q448">
        <v>0</v>
      </c>
      <c r="R448">
        <v>0</v>
      </c>
      <c r="S448">
        <v>0</v>
      </c>
      <c r="T448">
        <v>0</v>
      </c>
      <c r="U448">
        <v>0</v>
      </c>
      <c r="V448">
        <f>SUM(Table6767697275142126313848535557[[#This Row],[Bus ]:[Wheelchair]])</f>
        <v>3</v>
      </c>
    </row>
    <row r="449" spans="2:22" customFormat="1" ht="14.4" x14ac:dyDescent="0.3">
      <c r="B449" t="s">
        <v>66</v>
      </c>
      <c r="C449" t="s">
        <v>92</v>
      </c>
      <c r="D449">
        <v>0</v>
      </c>
      <c r="E449">
        <v>1</v>
      </c>
      <c r="F449">
        <v>2</v>
      </c>
      <c r="G449">
        <v>0</v>
      </c>
      <c r="H449">
        <v>0</v>
      </c>
      <c r="I449">
        <v>0</v>
      </c>
      <c r="J449">
        <v>3</v>
      </c>
      <c r="K449">
        <f>SUM(Table67677174132025273747525456[[#This Row],[Bus ]:[Wheelchair]])</f>
        <v>6</v>
      </c>
      <c r="M449" t="s">
        <v>54</v>
      </c>
      <c r="N449" t="s">
        <v>81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f>SUM(Table6767697275142126313848535557[[#This Row],[Bus ]:[Wheelchair]])</f>
        <v>1</v>
      </c>
    </row>
    <row r="450" spans="2:22" customFormat="1" ht="14.4" x14ac:dyDescent="0.3">
      <c r="B450" t="s">
        <v>207</v>
      </c>
      <c r="C450" t="s">
        <v>96</v>
      </c>
      <c r="D450">
        <v>0</v>
      </c>
      <c r="E450">
        <v>0</v>
      </c>
      <c r="F450">
        <v>2</v>
      </c>
      <c r="G450">
        <v>0</v>
      </c>
      <c r="H450">
        <v>0</v>
      </c>
      <c r="I450">
        <v>0</v>
      </c>
      <c r="J450">
        <v>0</v>
      </c>
      <c r="K450">
        <f>SUM(Table67677174132025273747525456[[#This Row],[Bus ]:[Wheelchair]])</f>
        <v>2</v>
      </c>
      <c r="M450" t="s">
        <v>34</v>
      </c>
      <c r="N450" t="s">
        <v>206</v>
      </c>
      <c r="O450">
        <v>0</v>
      </c>
      <c r="P450">
        <v>2</v>
      </c>
      <c r="Q450">
        <v>0</v>
      </c>
      <c r="R450">
        <v>0</v>
      </c>
      <c r="S450">
        <v>0</v>
      </c>
      <c r="T450">
        <v>0</v>
      </c>
      <c r="U450">
        <v>0</v>
      </c>
      <c r="V450">
        <f>SUM(Table6767697275142126313848535557[[#This Row],[Bus ]:[Wheelchair]])</f>
        <v>2</v>
      </c>
    </row>
    <row r="451" spans="2:22" customFormat="1" ht="14.4" x14ac:dyDescent="0.3">
      <c r="B451" t="s">
        <v>20</v>
      </c>
      <c r="D451">
        <f>SUBTOTAL(109,Table67677174132025273747525456[[Bus ]])</f>
        <v>1</v>
      </c>
      <c r="E451">
        <f>SUBTOTAL(109,Table67677174132025273747525456[Cab])</f>
        <v>229</v>
      </c>
      <c r="F451">
        <f>SUBTOTAL(109,Table67677174132025273747525456[GMR])</f>
        <v>118</v>
      </c>
      <c r="G451">
        <f>SUBTOTAL(109,Table67677174132025273747525456[Public Entity])</f>
        <v>6</v>
      </c>
      <c r="H451">
        <f>SUBTOTAL(109,Table67677174132025273747525456[Stretcher])</f>
        <v>4</v>
      </c>
      <c r="I451">
        <f>SUBTOTAL(109,Table67677174132025273747525456[TNC Vendor])</f>
        <v>42</v>
      </c>
      <c r="J451">
        <f>SUBTOTAL(109,Table67677174132025273747525456[Wheelchair])</f>
        <v>15</v>
      </c>
      <c r="K451">
        <f>SUBTOTAL(109,Table67677174132025273747525456[Total])</f>
        <v>415</v>
      </c>
      <c r="M451" t="s">
        <v>32</v>
      </c>
      <c r="N451" t="s">
        <v>87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0</v>
      </c>
      <c r="U451">
        <v>3</v>
      </c>
      <c r="V451">
        <f>SUM(Table6767697275142126313848535557[[#This Row],[Bus ]:[Wheelchair]])</f>
        <v>4</v>
      </c>
    </row>
    <row r="452" spans="2:22" customFormat="1" ht="14.4" x14ac:dyDescent="0.3">
      <c r="M452" t="s">
        <v>47</v>
      </c>
      <c r="N452" t="s">
        <v>87</v>
      </c>
      <c r="O452">
        <v>0</v>
      </c>
      <c r="P452">
        <v>0</v>
      </c>
      <c r="Q452">
        <v>1</v>
      </c>
      <c r="R452">
        <v>0</v>
      </c>
      <c r="S452">
        <v>0</v>
      </c>
      <c r="T452">
        <v>0</v>
      </c>
      <c r="U452">
        <v>0</v>
      </c>
      <c r="V452">
        <f>SUM(Table6767697275142126313848535557[[#This Row],[Bus ]:[Wheelchair]])</f>
        <v>1</v>
      </c>
    </row>
    <row r="453" spans="2:22" customFormat="1" ht="14.4" x14ac:dyDescent="0.3">
      <c r="M453" t="s">
        <v>50</v>
      </c>
      <c r="N453" t="s">
        <v>87</v>
      </c>
      <c r="O453">
        <v>0</v>
      </c>
      <c r="P453">
        <v>0</v>
      </c>
      <c r="Q453">
        <v>1</v>
      </c>
      <c r="R453">
        <v>0</v>
      </c>
      <c r="S453">
        <v>0</v>
      </c>
      <c r="T453">
        <v>0</v>
      </c>
      <c r="U453">
        <v>0</v>
      </c>
      <c r="V453">
        <f>SUM(Table6767697275142126313848535557[[#This Row],[Bus ]:[Wheelchair]])</f>
        <v>1</v>
      </c>
    </row>
    <row r="454" spans="2:22" customFormat="1" ht="14.4" x14ac:dyDescent="0.3">
      <c r="M454" t="s">
        <v>46</v>
      </c>
      <c r="N454" t="s">
        <v>89</v>
      </c>
      <c r="O454">
        <v>0</v>
      </c>
      <c r="P454">
        <v>2</v>
      </c>
      <c r="Q454">
        <v>0</v>
      </c>
      <c r="R454">
        <v>0</v>
      </c>
      <c r="S454">
        <v>0</v>
      </c>
      <c r="T454">
        <v>0</v>
      </c>
      <c r="U454">
        <v>0</v>
      </c>
      <c r="V454">
        <f>SUM(Table6767697275142126313848535557[[#This Row],[Bus ]:[Wheelchair]])</f>
        <v>2</v>
      </c>
    </row>
    <row r="455" spans="2:22" customFormat="1" ht="14.4" x14ac:dyDescent="0.3">
      <c r="M455" t="s">
        <v>49</v>
      </c>
      <c r="N455" t="s">
        <v>89</v>
      </c>
      <c r="O455">
        <v>8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f>SUM(Table6767697275142126313848535557[[#This Row],[Bus ]:[Wheelchair]])</f>
        <v>8</v>
      </c>
    </row>
    <row r="456" spans="2:22" customFormat="1" ht="14.4" x14ac:dyDescent="0.3">
      <c r="M456" t="s">
        <v>62</v>
      </c>
      <c r="N456" t="s">
        <v>128</v>
      </c>
      <c r="O456">
        <v>0</v>
      </c>
      <c r="P456">
        <v>2</v>
      </c>
      <c r="Q456">
        <v>0</v>
      </c>
      <c r="R456">
        <v>0</v>
      </c>
      <c r="S456">
        <v>0</v>
      </c>
      <c r="T456">
        <v>0</v>
      </c>
      <c r="U456">
        <v>0</v>
      </c>
      <c r="V456">
        <f>SUM(Table6767697275142126313848535557[[#This Row],[Bus ]:[Wheelchair]])</f>
        <v>2</v>
      </c>
    </row>
    <row r="457" spans="2:22" customFormat="1" ht="14.4" x14ac:dyDescent="0.3">
      <c r="M457" t="s">
        <v>36</v>
      </c>
      <c r="N457" t="s">
        <v>92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0</v>
      </c>
      <c r="U457">
        <v>0</v>
      </c>
      <c r="V457">
        <f>SUM(Table6767697275142126313848535557[[#This Row],[Bus ]:[Wheelchair]])</f>
        <v>2</v>
      </c>
    </row>
    <row r="458" spans="2:22" customFormat="1" ht="14.4" x14ac:dyDescent="0.3">
      <c r="M458" t="s">
        <v>55</v>
      </c>
      <c r="N458" t="s">
        <v>92</v>
      </c>
      <c r="O458">
        <v>0</v>
      </c>
      <c r="P458">
        <v>116</v>
      </c>
      <c r="Q458">
        <v>59</v>
      </c>
      <c r="R458">
        <v>0</v>
      </c>
      <c r="S458">
        <v>0</v>
      </c>
      <c r="T458">
        <v>33</v>
      </c>
      <c r="U458">
        <v>6</v>
      </c>
      <c r="V458">
        <f>SUM(Table6767697275142126313848535557[[#This Row],[Bus ]:[Wheelchair]])</f>
        <v>214</v>
      </c>
    </row>
    <row r="459" spans="2:22" customFormat="1" ht="14.4" x14ac:dyDescent="0.3">
      <c r="M459" t="s">
        <v>61</v>
      </c>
      <c r="N459" t="s">
        <v>92</v>
      </c>
      <c r="O459">
        <v>0</v>
      </c>
      <c r="P459">
        <v>2</v>
      </c>
      <c r="Q459">
        <v>0</v>
      </c>
      <c r="R459">
        <v>0</v>
      </c>
      <c r="S459">
        <v>0</v>
      </c>
      <c r="T459">
        <v>0</v>
      </c>
      <c r="U459">
        <v>0</v>
      </c>
      <c r="V459">
        <f>SUM(Table6767697275142126313848535557[[#This Row],[Bus ]:[Wheelchair]])</f>
        <v>2</v>
      </c>
    </row>
    <row r="460" spans="2:22" customFormat="1" ht="14.4" x14ac:dyDescent="0.3">
      <c r="M460" t="s">
        <v>65</v>
      </c>
      <c r="N460" t="s">
        <v>92</v>
      </c>
      <c r="O460">
        <v>0</v>
      </c>
      <c r="P460">
        <v>5</v>
      </c>
      <c r="Q460">
        <v>3</v>
      </c>
      <c r="R460">
        <v>0</v>
      </c>
      <c r="S460">
        <v>0</v>
      </c>
      <c r="T460">
        <v>1</v>
      </c>
      <c r="U460">
        <v>0</v>
      </c>
      <c r="V460">
        <f>SUM(Table6767697275142126313848535557[[#This Row],[Bus ]:[Wheelchair]])</f>
        <v>9</v>
      </c>
    </row>
    <row r="461" spans="2:22" customFormat="1" ht="14.4" x14ac:dyDescent="0.3">
      <c r="M461" t="s">
        <v>66</v>
      </c>
      <c r="N461" t="s">
        <v>92</v>
      </c>
      <c r="O461">
        <v>0</v>
      </c>
      <c r="P461">
        <v>3</v>
      </c>
      <c r="Q461">
        <v>10</v>
      </c>
      <c r="R461">
        <v>0</v>
      </c>
      <c r="S461">
        <v>0</v>
      </c>
      <c r="T461">
        <v>0</v>
      </c>
      <c r="U461">
        <v>0</v>
      </c>
      <c r="V461">
        <f>SUM(Table6767697275142126313848535557[[#This Row],[Bus ]:[Wheelchair]])</f>
        <v>13</v>
      </c>
    </row>
    <row r="462" spans="2:22" customFormat="1" ht="14.4" x14ac:dyDescent="0.3">
      <c r="M462" t="s">
        <v>67</v>
      </c>
      <c r="N462" t="s">
        <v>92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0</v>
      </c>
      <c r="U462">
        <v>0</v>
      </c>
      <c r="V462">
        <f>SUM(Table6767697275142126313848535557[[#This Row],[Bus ]:[Wheelchair]])</f>
        <v>1</v>
      </c>
    </row>
    <row r="463" spans="2:22" customFormat="1" ht="14.4" x14ac:dyDescent="0.3">
      <c r="M463" t="s">
        <v>20</v>
      </c>
      <c r="O463">
        <f>SUBTOTAL(109,Table6767697275142126313848535557[[Bus ]])</f>
        <v>8</v>
      </c>
      <c r="P463">
        <f>SUBTOTAL(109,Table6767697275142126313848535557[Cab])</f>
        <v>305</v>
      </c>
      <c r="Q463">
        <f>SUBTOTAL(109,Table6767697275142126313848535557[GMR])</f>
        <v>107</v>
      </c>
      <c r="R463">
        <f>SUBTOTAL(109,Table6767697275142126313848535557[Public Entity])</f>
        <v>2</v>
      </c>
      <c r="S463">
        <f>SUBTOTAL(109,Table6767697275142126313848535557[Stretcher])</f>
        <v>1</v>
      </c>
      <c r="T463">
        <f>SUBTOTAL(109,Table6767697275142126313848535557[TNC Vendor])</f>
        <v>43</v>
      </c>
      <c r="U463">
        <f>SUBTOTAL(109,Table6767697275142126313848535557[Wheelchair])</f>
        <v>16</v>
      </c>
      <c r="V463">
        <f>SUBTOTAL(109,Table6767697275142126313848535557[Total])</f>
        <v>482</v>
      </c>
    </row>
  </sheetData>
  <mergeCells count="48">
    <mergeCell ref="B383:D384"/>
    <mergeCell ref="E383:K384"/>
    <mergeCell ref="M383:O384"/>
    <mergeCell ref="P383:V384"/>
    <mergeCell ref="B424:D425"/>
    <mergeCell ref="E424:K425"/>
    <mergeCell ref="M424:O425"/>
    <mergeCell ref="P424:V425"/>
    <mergeCell ref="B310:D311"/>
    <mergeCell ref="E310:K311"/>
    <mergeCell ref="M310:O311"/>
    <mergeCell ref="P310:V311"/>
    <mergeCell ref="B343:D344"/>
    <mergeCell ref="E343:K344"/>
    <mergeCell ref="M343:O344"/>
    <mergeCell ref="P343:V344"/>
    <mergeCell ref="B234:D235"/>
    <mergeCell ref="E234:K235"/>
    <mergeCell ref="M234:O235"/>
    <mergeCell ref="P234:V235"/>
    <mergeCell ref="B273:D274"/>
    <mergeCell ref="E273:K274"/>
    <mergeCell ref="M273:O274"/>
    <mergeCell ref="P273:V274"/>
    <mergeCell ref="B172:D173"/>
    <mergeCell ref="E172:K173"/>
    <mergeCell ref="M172:O173"/>
    <mergeCell ref="P172:V173"/>
    <mergeCell ref="B206:D207"/>
    <mergeCell ref="E206:K207"/>
    <mergeCell ref="M206:O207"/>
    <mergeCell ref="P206:V207"/>
    <mergeCell ref="B95:D96"/>
    <mergeCell ref="E95:K96"/>
    <mergeCell ref="M95:O96"/>
    <mergeCell ref="P95:V96"/>
    <mergeCell ref="B137:D138"/>
    <mergeCell ref="E137:K138"/>
    <mergeCell ref="M137:O138"/>
    <mergeCell ref="P137:V138"/>
    <mergeCell ref="B20:D21"/>
    <mergeCell ref="E20:K21"/>
    <mergeCell ref="M20:O21"/>
    <mergeCell ref="P20:V21"/>
    <mergeCell ref="B58:D59"/>
    <mergeCell ref="E58:K59"/>
    <mergeCell ref="M58:O59"/>
    <mergeCell ref="P58:V59"/>
  </mergeCells>
  <conditionalFormatting sqref="B23:K503">
    <cfRule type="expression" dxfId="67" priority="74">
      <formula>$C23:$C503="IA"</formula>
    </cfRule>
    <cfRule type="expression" dxfId="66" priority="50">
      <formula>$C23:$C503="WA"</formula>
    </cfRule>
    <cfRule type="expression" dxfId="65" priority="51">
      <formula>$C23:$C503="VA"</formula>
    </cfRule>
    <cfRule type="expression" dxfId="64" priority="52">
      <formula>$C23:$C503="UT"</formula>
    </cfRule>
    <cfRule type="expression" dxfId="63" priority="53">
      <formula>$C23:$C503="TX"</formula>
    </cfRule>
    <cfRule type="expression" dxfId="62" priority="54">
      <formula>$C23:$C503="TN"</formula>
    </cfRule>
    <cfRule type="expression" dxfId="61" priority="55">
      <formula>$C23:$C503="SC"</formula>
    </cfRule>
    <cfRule type="expression" dxfId="60" priority="56">
      <formula>$C23:$C503="RI"</formula>
    </cfRule>
    <cfRule type="expression" dxfId="59" priority="57">
      <formula>$C23:$C503="PA"</formula>
    </cfRule>
    <cfRule type="expression" dxfId="58" priority="58">
      <formula>$C23:$C503="OR"</formula>
    </cfRule>
    <cfRule type="expression" dxfId="57" priority="59">
      <formula>$C23:$C503="OK"</formula>
    </cfRule>
    <cfRule type="expression" dxfId="56" priority="60">
      <formula>$C23:$C503="OH"</formula>
    </cfRule>
    <cfRule type="expression" dxfId="55" priority="61">
      <formula>$C23:$C503="NM"</formula>
    </cfRule>
    <cfRule type="expression" dxfId="54" priority="62">
      <formula>$C23:$C503="NE"</formula>
    </cfRule>
    <cfRule type="expression" dxfId="53" priority="63">
      <formula>$C23:$C503="NC"</formula>
    </cfRule>
    <cfRule type="expression" dxfId="52" priority="64">
      <formula>$C23:$C503="MT"</formula>
    </cfRule>
    <cfRule type="expression" dxfId="51" priority="65">
      <formula>$C23:$C503="MS"</formula>
    </cfRule>
    <cfRule type="expression" dxfId="50" priority="66">
      <formula>$C23:$C503="MO"</formula>
    </cfRule>
    <cfRule type="expression" dxfId="49" priority="67">
      <formula>$C23:$C503="MN"</formula>
    </cfRule>
    <cfRule type="expression" dxfId="48" priority="68">
      <formula>$C23:$C503="MI"</formula>
    </cfRule>
    <cfRule type="expression" dxfId="47" priority="69">
      <formula>$C23:$C503="LA"</formula>
    </cfRule>
    <cfRule type="expression" dxfId="46" priority="70">
      <formula>$C23:$C503="KS"</formula>
    </cfRule>
    <cfRule type="expression" dxfId="45" priority="71">
      <formula>$C23:$C503="IN"</formula>
    </cfRule>
    <cfRule type="expression" dxfId="44" priority="72">
      <formula>$C23:$C503="IL"</formula>
    </cfRule>
    <cfRule type="expression" dxfId="43" priority="73">
      <formula>$C23:$C503="ID"</formula>
    </cfRule>
    <cfRule type="expression" dxfId="42" priority="75">
      <formula>$C23:$C503="HI"</formula>
    </cfRule>
    <cfRule type="expression" dxfId="41" priority="49">
      <formula>$C23:$C503="WI"</formula>
    </cfRule>
    <cfRule type="expression" dxfId="40" priority="76">
      <formula>$C23:$C503="FL"</formula>
    </cfRule>
    <cfRule type="expression" dxfId="39" priority="77">
      <formula>$C23:$C503="DC"</formula>
    </cfRule>
    <cfRule type="expression" dxfId="38" priority="78">
      <formula>$C23:$C503="CO"</formula>
    </cfRule>
    <cfRule type="expression" dxfId="37" priority="79">
      <formula>$C23:$C503="CA"</formula>
    </cfRule>
    <cfRule type="expression" dxfId="36" priority="80">
      <formula>$C23:$C503="AZ"</formula>
    </cfRule>
    <cfRule type="expression" dxfId="35" priority="81">
      <formula>$C23:$C503="AR"</formula>
    </cfRule>
    <cfRule type="expression" dxfId="34" priority="83">
      <formula>$C23:$C503="?"</formula>
    </cfRule>
  </conditionalFormatting>
  <conditionalFormatting sqref="M23:V502">
    <cfRule type="expression" dxfId="33" priority="14">
      <formula>$N23:$N502="WA"</formula>
    </cfRule>
    <cfRule type="expression" dxfId="32" priority="15">
      <formula>$N23:$N502="VA"</formula>
    </cfRule>
    <cfRule type="expression" dxfId="31" priority="16">
      <formula>$N23:$N502="UT"</formula>
    </cfRule>
    <cfRule type="expression" dxfId="30" priority="17">
      <formula>$N23:$N502="TX"</formula>
    </cfRule>
    <cfRule type="expression" dxfId="29" priority="18">
      <formula>$N23:$N502="TN"</formula>
    </cfRule>
    <cfRule type="expression" dxfId="28" priority="19">
      <formula>$N23:$N502="SC"</formula>
    </cfRule>
    <cfRule type="expression" dxfId="27" priority="20">
      <formula>$N23:$N502="RI"</formula>
    </cfRule>
    <cfRule type="expression" dxfId="26" priority="21">
      <formula>$N23:$N502="PA"</formula>
    </cfRule>
    <cfRule type="expression" dxfId="25" priority="23">
      <formula>$N23:$N502="OK"</formula>
    </cfRule>
    <cfRule type="expression" dxfId="24" priority="24">
      <formula>$N23:$N502="OH"</formula>
    </cfRule>
    <cfRule type="expression" dxfId="23" priority="25">
      <formula>$N23:$N502="NM"</formula>
    </cfRule>
    <cfRule type="expression" dxfId="22" priority="26">
      <formula>$N23:$N502="NE"</formula>
    </cfRule>
    <cfRule type="expression" dxfId="21" priority="27">
      <formula>$N23:$N502="NC"</formula>
    </cfRule>
    <cfRule type="expression" dxfId="20" priority="28">
      <formula>$N23:$N502="MT"</formula>
    </cfRule>
    <cfRule type="expression" dxfId="19" priority="29">
      <formula>$N23:$N502="MS"</formula>
    </cfRule>
    <cfRule type="expression" dxfId="18" priority="30">
      <formula>$N23:$N502="MO"</formula>
    </cfRule>
    <cfRule type="expression" dxfId="17" priority="31">
      <formula>$N23:$N502="MN"</formula>
    </cfRule>
    <cfRule type="expression" dxfId="16" priority="32">
      <formula>$N23:$N502="MI"</formula>
    </cfRule>
    <cfRule type="expression" dxfId="15" priority="33">
      <formula>$N23:$N502="LA"</formula>
    </cfRule>
    <cfRule type="expression" dxfId="14" priority="34">
      <formula>$N23:$N502="KS"</formula>
    </cfRule>
    <cfRule type="expression" dxfId="13" priority="35">
      <formula>$N23:$N502="IN"</formula>
    </cfRule>
    <cfRule type="expression" dxfId="12" priority="36">
      <formula>$N23:$N502="IL"</formula>
    </cfRule>
    <cfRule type="expression" dxfId="11" priority="37">
      <formula>$N23:$N502="ID"</formula>
    </cfRule>
    <cfRule type="expression" dxfId="10" priority="39">
      <formula>$N23:$N502="IA"</formula>
    </cfRule>
    <cfRule type="expression" dxfId="9" priority="40">
      <formula>$N23:$N502="HI"</formula>
    </cfRule>
    <cfRule type="expression" dxfId="8" priority="42">
      <formula>$N23:$N502="DC"</formula>
    </cfRule>
    <cfRule type="expression" dxfId="7" priority="43">
      <formula>$N23:$N502="CO"</formula>
    </cfRule>
    <cfRule type="expression" dxfId="6" priority="44">
      <formula>$N23:$N502="CA"</formula>
    </cfRule>
    <cfRule type="expression" dxfId="5" priority="45">
      <formula>$N23:$N502="AZ"</formula>
    </cfRule>
    <cfRule type="expression" dxfId="4" priority="46">
      <formula>$N23:$N502="AR"</formula>
    </cfRule>
    <cfRule type="expression" dxfId="3" priority="47">
      <formula>$N23:$N502="?"</formula>
    </cfRule>
    <cfRule type="expression" dxfId="2" priority="48">
      <formula>$N23:$N502="WI"</formula>
    </cfRule>
    <cfRule type="expression" dxfId="1" priority="41">
      <formula>$N23:$N502="FL"</formula>
    </cfRule>
    <cfRule type="expression" dxfId="0" priority="22">
      <formula>$N23:$N502="OR"</formula>
    </cfRule>
  </conditionalFormatting>
  <pageMargins left="0.7" right="0.7" top="0.75" bottom="0.75" header="0.3" footer="0.3"/>
  <pageSetup orientation="portrait" r:id="rId1"/>
  <drawing r:id="rId2"/>
  <tableParts count="24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0F151B777DB94B80E69EA2AD7062D6" ma:contentTypeVersion="3" ma:contentTypeDescription="Create a new document." ma:contentTypeScope="" ma:versionID="78176b2324c1ea6a34ee4c908150a056">
  <xsd:schema xmlns:xsd="http://www.w3.org/2001/XMLSchema" xmlns:xs="http://www.w3.org/2001/XMLSchema" xmlns:p="http://schemas.microsoft.com/office/2006/metadata/properties" xmlns:ns2="4b9cb603-7e21-4356-be8f-32723a353047" targetNamespace="http://schemas.microsoft.com/office/2006/metadata/properties" ma:root="true" ma:fieldsID="c7f163310de5ff4eec84c2dd03a5e4f2" ns2:_="">
    <xsd:import namespace="4b9cb603-7e21-4356-be8f-32723a3530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9cb603-7e21-4356-be8f-32723a3530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D29EB5-A24B-42C1-B08D-F333D39F77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1F0E2F-40D8-4C86-AC04-A88E436600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9cb603-7e21-4356-be8f-32723a3530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EA55BC-3FE3-4745-A3DD-77AB2FEA1D7E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52aa4ac5-7192-4060-9d52-9b17b419bcba}" enabled="0" method="" siteId="{52aa4ac5-7192-4060-9d52-9b17b419bcb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In-State</vt:lpstr>
      <vt:lpstr>Out-of-State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Stanko</dc:creator>
  <cp:keywords/>
  <dc:description/>
  <cp:lastModifiedBy>Heather L. Moon</cp:lastModifiedBy>
  <cp:revision/>
  <cp:lastPrinted>2026-05-29T02:39:46Z</cp:lastPrinted>
  <dcterms:created xsi:type="dcterms:W3CDTF">2025-10-03T20:43:28Z</dcterms:created>
  <dcterms:modified xsi:type="dcterms:W3CDTF">2026-05-30T14:17:41Z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0x010100A70F151B777DB94B80E69EA2AD7062D6</vt:lpwstr>
  </property>
</Properties>
</file>